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/>
  <mc:AlternateContent xmlns:mc="http://schemas.openxmlformats.org/markup-compatibility/2006">
    <mc:Choice Requires="x15">
      <x15ac:absPath xmlns:x15ac="http://schemas.microsoft.com/office/spreadsheetml/2010/11/ac" url="O:\ENVIR\Other Issues\Sustainability\"/>
    </mc:Choice>
  </mc:AlternateContent>
  <xr:revisionPtr revIDLastSave="0" documentId="8_{AA2FC207-FEC6-42E6-AF2E-7F900A3E0339}" xr6:coauthVersionLast="36" xr6:coauthVersionMax="36" xr10:uidLastSave="{00000000-0000-0000-0000-000000000000}"/>
  <bookViews>
    <workbookView xWindow="28680" yWindow="-120" windowWidth="29040" windowHeight="15840" tabRatio="909" firstSheet="2" activeTab="2" xr2:uid="{00000000-000D-0000-FFFF-FFFF00000000}"/>
  </bookViews>
  <sheets>
    <sheet name="Index" sheetId="32" r:id="rId1"/>
    <sheet name="Project Reductions Summary" sheetId="31" r:id="rId2"/>
    <sheet name="Project Reductions Details" sheetId="30" r:id="rId3"/>
    <sheet name="Project #1 - Clean Fleets" sheetId="17" r:id="rId4"/>
    <sheet name="Project #2 - Virtual Power Plan" sheetId="18" r:id="rId5"/>
    <sheet name="Project #3 - Res Building Retro" sheetId="19" r:id="rId6"/>
    <sheet name="Project #3 - Com Building Retro" sheetId="20" r:id="rId7"/>
    <sheet name="Project #3 - VPP+ Costs" sheetId="21" r:id="rId8"/>
    <sheet name="Project #4 - Res Building New B" sheetId="22" r:id="rId9"/>
    <sheet name="Project #4 - Res Building Retro" sheetId="23" r:id="rId10"/>
    <sheet name="Project #4 - Deep Nbhd Retrofit" sheetId="24" r:id="rId11"/>
    <sheet name="Project #5 - Transit Transforma" sheetId="25" r:id="rId12"/>
    <sheet name="Project #6 - Carbon Sequestrati" sheetId="26" r:id="rId13"/>
    <sheet name="Project #7 - Clean Cars" sheetId="27" r:id="rId14"/>
    <sheet name="Project #8 - Active Transportat" sheetId="28" r:id="rId15"/>
    <sheet name="Project #9 - Organics Diversion" sheetId="29" r:id="rId16"/>
    <sheet name="Dayton Kettering MSA Summary" sheetId="1" r:id="rId17"/>
    <sheet name="Dayton Kettering MSA Pop" sheetId="2" r:id="rId18"/>
    <sheet name="Projections raw data" sheetId="3" r:id="rId19"/>
    <sheet name="Projections by County" sheetId="4" r:id="rId20"/>
    <sheet name="Emissions Factors" sheetId="5" r:id="rId21"/>
    <sheet name="CAP Emissions Factors" sheetId="6" r:id="rId22"/>
    <sheet name="Clean Fleet Calcs" sheetId="7" r:id="rId23"/>
    <sheet name="Rooftop Solar" sheetId="8" r:id="rId24"/>
    <sheet name="Census_data" sheetId="9" r:id="rId25"/>
    <sheet name="replica trips" sheetId="10" r:id="rId26"/>
    <sheet name="Replica Building Area" sheetId="11" r:id="rId27"/>
    <sheet name="new res bld calcs" sheetId="12" r:id="rId28"/>
    <sheet name="res bld data" sheetId="13" r:id="rId29"/>
    <sheet name="res bld calcs" sheetId="14" r:id="rId30"/>
    <sheet name="nres bld data" sheetId="15" r:id="rId31"/>
    <sheet name="nres bld calcs" sheetId="16" r:id="rId32"/>
  </sheets>
  <definedNames>
    <definedName name="avg_trip_length">'replica trips'!$F$28:$F$39</definedName>
    <definedName name="bike_elasticity">'Project #8 - Active Transportat'!$A$67</definedName>
    <definedName name="BTU_per_kWh">'Emissions Factors'!$B$58</definedName>
    <definedName name="emission_factors">'Emissions Factors'!$C$51:$AH$54</definedName>
    <definedName name="hdv_diesel_cap_ef">'CAP Emissions Factors'!$A$49:$AF$54</definedName>
    <definedName name="hdv_gas_cap_ef">'CAP Emissions Factors'!$A$20:$AF$25</definedName>
    <definedName name="ldv_diesel_car_cap_ef">'CAP Emissions Factors'!$A$35:$AF$40</definedName>
    <definedName name="ldv_diesel_lt_cap_ef">'CAP Emissions Factors'!$A$42:$AF$47</definedName>
    <definedName name="ldv_gas_car_cap_ef">'CAP Emissions Factors'!$A$6:$AF$11</definedName>
    <definedName name="ldv_gas_lt_cap_ef">'CAP Emissions Factors'!$A$13:$AF$18</definedName>
    <definedName name="ldv_gas_moto_cap_ef">'CAP Emissions Factors'!$A$27:$AF$32</definedName>
    <definedName name="MMBTU_per_scf">'Emissions Factors'!$F$40</definedName>
    <definedName name="person_miles_by_dist">'replica trips'!$D$3:$K$24</definedName>
    <definedName name="person_miles_mode_share">'replica trips'!$M$49:$V$60</definedName>
    <definedName name="person_trips_by_dist">'replica trips'!$O$3:$V$24</definedName>
    <definedName name="tonne_per_lb">'Emissions Factors'!$H$44</definedName>
  </definedNames>
  <calcPr calcId="191029"/>
  <pivotCaches>
    <pivotCache cacheId="5" r:id="rId33"/>
  </pivotCaches>
</workbook>
</file>

<file path=xl/calcChain.xml><?xml version="1.0" encoding="utf-8"?>
<calcChain xmlns="http://schemas.openxmlformats.org/spreadsheetml/2006/main">
  <c r="G35" i="18" l="1"/>
  <c r="F35" i="18"/>
  <c r="E35" i="18"/>
  <c r="B35" i="18"/>
  <c r="B29" i="18"/>
  <c r="C33" i="32"/>
  <c r="C32" i="32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C4" i="32"/>
  <c r="C3" i="32"/>
  <c r="C2" i="32"/>
  <c r="G9" i="27" l="1"/>
  <c r="G8" i="27"/>
  <c r="G7" i="27"/>
  <c r="G6" i="27"/>
  <c r="G5" i="27"/>
  <c r="G4" i="27"/>
  <c r="D30" i="31"/>
  <c r="Q85" i="30"/>
  <c r="M85" i="30"/>
  <c r="L85" i="30"/>
  <c r="N85" i="30" s="1"/>
  <c r="R84" i="30"/>
  <c r="N80" i="30"/>
  <c r="M80" i="30"/>
  <c r="N79" i="30"/>
  <c r="O79" i="30" s="1"/>
  <c r="E30" i="31" s="1"/>
  <c r="M79" i="30"/>
  <c r="N78" i="30"/>
  <c r="D29" i="31" s="1"/>
  <c r="M78" i="30"/>
  <c r="O78" i="30" s="1"/>
  <c r="E29" i="31" s="1"/>
  <c r="N77" i="30"/>
  <c r="D28" i="31" s="1"/>
  <c r="M77" i="30"/>
  <c r="O77" i="30" s="1"/>
  <c r="E28" i="31" s="1"/>
  <c r="N73" i="30"/>
  <c r="M73" i="30"/>
  <c r="R72" i="30"/>
  <c r="N68" i="30"/>
  <c r="M68" i="30"/>
  <c r="N67" i="30"/>
  <c r="M67" i="30"/>
  <c r="O66" i="30"/>
  <c r="E25" i="31" s="1"/>
  <c r="N66" i="30"/>
  <c r="D25" i="31" s="1"/>
  <c r="M66" i="30"/>
  <c r="N65" i="30"/>
  <c r="D24" i="31" s="1"/>
  <c r="M65" i="30"/>
  <c r="N61" i="30"/>
  <c r="C10" i="31" s="1"/>
  <c r="M61" i="30"/>
  <c r="R60" i="30"/>
  <c r="Q56" i="30"/>
  <c r="N56" i="30"/>
  <c r="C9" i="31" s="1"/>
  <c r="M56" i="30"/>
  <c r="O56" i="30" s="1"/>
  <c r="D9" i="31" s="1"/>
  <c r="R55" i="30"/>
  <c r="N51" i="30"/>
  <c r="M51" i="30"/>
  <c r="N50" i="30"/>
  <c r="O50" i="30" s="1"/>
  <c r="E22" i="31" s="1"/>
  <c r="M50" i="30"/>
  <c r="N49" i="30"/>
  <c r="D21" i="31" s="1"/>
  <c r="M49" i="30"/>
  <c r="O49" i="30" s="1"/>
  <c r="E21" i="31" s="1"/>
  <c r="N48" i="30"/>
  <c r="D20" i="31" s="1"/>
  <c r="M48" i="30"/>
  <c r="N44" i="30"/>
  <c r="M44" i="30"/>
  <c r="R43" i="30"/>
  <c r="N35" i="30"/>
  <c r="O35" i="30" s="1"/>
  <c r="M35" i="30"/>
  <c r="I35" i="30"/>
  <c r="M36" i="30" s="1"/>
  <c r="H35" i="30"/>
  <c r="G35" i="30"/>
  <c r="F35" i="30"/>
  <c r="E35" i="30"/>
  <c r="D35" i="30"/>
  <c r="R34" i="30"/>
  <c r="N34" i="30"/>
  <c r="O34" i="30" s="1"/>
  <c r="M34" i="30"/>
  <c r="R33" i="30"/>
  <c r="N26" i="30"/>
  <c r="O26" i="30" s="1"/>
  <c r="M26" i="30"/>
  <c r="R25" i="30"/>
  <c r="N25" i="30"/>
  <c r="C6" i="31" s="1"/>
  <c r="M25" i="30"/>
  <c r="R24" i="30"/>
  <c r="R20" i="30"/>
  <c r="N20" i="30"/>
  <c r="M20" i="30"/>
  <c r="M15" i="30"/>
  <c r="L15" i="30"/>
  <c r="N15" i="30" s="1"/>
  <c r="M14" i="30"/>
  <c r="L14" i="30"/>
  <c r="N14" i="30" s="1"/>
  <c r="M13" i="30"/>
  <c r="L13" i="30"/>
  <c r="N13" i="30" s="1"/>
  <c r="O13" i="30" s="1"/>
  <c r="E17" i="31" s="1"/>
  <c r="M12" i="30"/>
  <c r="L12" i="30"/>
  <c r="N12" i="30" s="1"/>
  <c r="M8" i="30"/>
  <c r="L8" i="30"/>
  <c r="N8" i="30" s="1"/>
  <c r="R7" i="30"/>
  <c r="U16" i="29"/>
  <c r="U27" i="29" s="1"/>
  <c r="J16" i="29"/>
  <c r="J27" i="29" s="1"/>
  <c r="E16" i="29"/>
  <c r="E27" i="29" s="1"/>
  <c r="U15" i="29"/>
  <c r="U26" i="29" s="1"/>
  <c r="AB10" i="29"/>
  <c r="AB16" i="29" s="1"/>
  <c r="AB27" i="29" s="1"/>
  <c r="AA10" i="29"/>
  <c r="Z10" i="29"/>
  <c r="Z22" i="29" s="1"/>
  <c r="Y10" i="29"/>
  <c r="Y16" i="29" s="1"/>
  <c r="Y27" i="29" s="1"/>
  <c r="X10" i="29"/>
  <c r="X16" i="29" s="1"/>
  <c r="X27" i="29" s="1"/>
  <c r="W10" i="29"/>
  <c r="W22" i="29" s="1"/>
  <c r="V10" i="29"/>
  <c r="V22" i="29" s="1"/>
  <c r="U10" i="29"/>
  <c r="U22" i="29" s="1"/>
  <c r="T10" i="29"/>
  <c r="T16" i="29" s="1"/>
  <c r="T27" i="29" s="1"/>
  <c r="S10" i="29"/>
  <c r="R10" i="29"/>
  <c r="R16" i="29" s="1"/>
  <c r="R27" i="29" s="1"/>
  <c r="Q10" i="29"/>
  <c r="Q22" i="29" s="1"/>
  <c r="P10" i="29"/>
  <c r="P16" i="29" s="1"/>
  <c r="P27" i="29" s="1"/>
  <c r="O10" i="29"/>
  <c r="O22" i="29" s="1"/>
  <c r="N10" i="29"/>
  <c r="N22" i="29" s="1"/>
  <c r="M10" i="29"/>
  <c r="M22" i="29" s="1"/>
  <c r="L10" i="29"/>
  <c r="L16" i="29" s="1"/>
  <c r="L27" i="29" s="1"/>
  <c r="K10" i="29"/>
  <c r="J10" i="29"/>
  <c r="J22" i="29" s="1"/>
  <c r="I10" i="29"/>
  <c r="I22" i="29" s="1"/>
  <c r="H10" i="29"/>
  <c r="H22" i="29" s="1"/>
  <c r="G10" i="29"/>
  <c r="G22" i="29" s="1"/>
  <c r="F10" i="29"/>
  <c r="F22" i="29" s="1"/>
  <c r="E10" i="29"/>
  <c r="E22" i="29" s="1"/>
  <c r="D10" i="29"/>
  <c r="D16" i="29" s="1"/>
  <c r="D27" i="29" s="1"/>
  <c r="C10" i="29"/>
  <c r="B10" i="29"/>
  <c r="B16" i="29" s="1"/>
  <c r="B27" i="29" s="1"/>
  <c r="AB9" i="29"/>
  <c r="AB21" i="29" s="1"/>
  <c r="AA9" i="29"/>
  <c r="AA15" i="29" s="1"/>
  <c r="AA26" i="29" s="1"/>
  <c r="Z9" i="29"/>
  <c r="Z21" i="29" s="1"/>
  <c r="Y9" i="29"/>
  <c r="Y21" i="29" s="1"/>
  <c r="X9" i="29"/>
  <c r="X21" i="29" s="1"/>
  <c r="W9" i="29"/>
  <c r="W15" i="29" s="1"/>
  <c r="W26" i="29" s="1"/>
  <c r="V9" i="29"/>
  <c r="U9" i="29"/>
  <c r="U21" i="29" s="1"/>
  <c r="T9" i="29"/>
  <c r="T21" i="29" s="1"/>
  <c r="S9" i="29"/>
  <c r="S21" i="29" s="1"/>
  <c r="R9" i="29"/>
  <c r="R21" i="29" s="1"/>
  <c r="Q9" i="29"/>
  <c r="Q21" i="29" s="1"/>
  <c r="P9" i="29"/>
  <c r="P21" i="29" s="1"/>
  <c r="O9" i="29"/>
  <c r="O15" i="29" s="1"/>
  <c r="O26" i="29" s="1"/>
  <c r="N9" i="29"/>
  <c r="M9" i="29"/>
  <c r="M21" i="29" s="1"/>
  <c r="L9" i="29"/>
  <c r="L21" i="29" s="1"/>
  <c r="K9" i="29"/>
  <c r="K15" i="29" s="1"/>
  <c r="K26" i="29" s="1"/>
  <c r="J9" i="29"/>
  <c r="J21" i="29" s="1"/>
  <c r="I9" i="29"/>
  <c r="I21" i="29" s="1"/>
  <c r="H9" i="29"/>
  <c r="H21" i="29" s="1"/>
  <c r="G9" i="29"/>
  <c r="G15" i="29" s="1"/>
  <c r="G26" i="29" s="1"/>
  <c r="F9" i="29"/>
  <c r="E9" i="29"/>
  <c r="E21" i="29" s="1"/>
  <c r="D9" i="29"/>
  <c r="D15" i="29" s="1"/>
  <c r="D26" i="29" s="1"/>
  <c r="C9" i="29"/>
  <c r="C21" i="29" s="1"/>
  <c r="B9" i="29"/>
  <c r="B21" i="29" s="1"/>
  <c r="AB8" i="29"/>
  <c r="AB20" i="29" s="1"/>
  <c r="AA8" i="29"/>
  <c r="AA20" i="29" s="1"/>
  <c r="Z8" i="29"/>
  <c r="Z14" i="29" s="1"/>
  <c r="Z25" i="29" s="1"/>
  <c r="Y8" i="29"/>
  <c r="X8" i="29"/>
  <c r="X20" i="29" s="1"/>
  <c r="W8" i="29"/>
  <c r="W20" i="29" s="1"/>
  <c r="V8" i="29"/>
  <c r="V14" i="29" s="1"/>
  <c r="V25" i="29" s="1"/>
  <c r="U8" i="29"/>
  <c r="U20" i="29" s="1"/>
  <c r="T8" i="29"/>
  <c r="T20" i="29" s="1"/>
  <c r="S8" i="29"/>
  <c r="S20" i="29" s="1"/>
  <c r="R8" i="29"/>
  <c r="R14" i="29" s="1"/>
  <c r="R25" i="29" s="1"/>
  <c r="Q8" i="29"/>
  <c r="P8" i="29"/>
  <c r="P20" i="29" s="1"/>
  <c r="O8" i="29"/>
  <c r="O14" i="29" s="1"/>
  <c r="O25" i="29" s="1"/>
  <c r="N8" i="29"/>
  <c r="N14" i="29" s="1"/>
  <c r="N25" i="29" s="1"/>
  <c r="M8" i="29"/>
  <c r="M20" i="29" s="1"/>
  <c r="L8" i="29"/>
  <c r="L20" i="29" s="1"/>
  <c r="K8" i="29"/>
  <c r="K20" i="29" s="1"/>
  <c r="J8" i="29"/>
  <c r="J14" i="29" s="1"/>
  <c r="J25" i="29" s="1"/>
  <c r="I8" i="29"/>
  <c r="H8" i="29"/>
  <c r="H14" i="29" s="1"/>
  <c r="H25" i="29" s="1"/>
  <c r="G8" i="29"/>
  <c r="G20" i="29" s="1"/>
  <c r="F8" i="29"/>
  <c r="F14" i="29" s="1"/>
  <c r="F25" i="29" s="1"/>
  <c r="E8" i="29"/>
  <c r="E20" i="29" s="1"/>
  <c r="D8" i="29"/>
  <c r="D20" i="29" s="1"/>
  <c r="C8" i="29"/>
  <c r="C20" i="29" s="1"/>
  <c r="B8" i="29"/>
  <c r="B14" i="29" s="1"/>
  <c r="B25" i="29" s="1"/>
  <c r="C77" i="28"/>
  <c r="I49" i="28"/>
  <c r="H49" i="28"/>
  <c r="G49" i="28"/>
  <c r="F49" i="28"/>
  <c r="E49" i="28"/>
  <c r="D49" i="28"/>
  <c r="C49" i="28"/>
  <c r="B49" i="28"/>
  <c r="M33" i="28"/>
  <c r="J33" i="28"/>
  <c r="R33" i="28" s="1"/>
  <c r="I33" i="28"/>
  <c r="Q33" i="28" s="1"/>
  <c r="H33" i="28"/>
  <c r="P33" i="28" s="1"/>
  <c r="G33" i="28"/>
  <c r="O33" i="28" s="1"/>
  <c r="F33" i="28"/>
  <c r="N33" i="28" s="1"/>
  <c r="E33" i="28"/>
  <c r="D33" i="28"/>
  <c r="L33" i="28" s="1"/>
  <c r="C33" i="28"/>
  <c r="K33" i="28" s="1"/>
  <c r="I26" i="28"/>
  <c r="H26" i="28"/>
  <c r="G26" i="28"/>
  <c r="F26" i="28"/>
  <c r="E26" i="28"/>
  <c r="D26" i="28"/>
  <c r="C26" i="28"/>
  <c r="B26" i="28"/>
  <c r="D22" i="28"/>
  <c r="C22" i="28"/>
  <c r="B22" i="28"/>
  <c r="D21" i="28"/>
  <c r="C21" i="28"/>
  <c r="B21" i="28"/>
  <c r="D20" i="28"/>
  <c r="C20" i="28"/>
  <c r="B20" i="28"/>
  <c r="T4" i="28"/>
  <c r="S4" i="28"/>
  <c r="R4" i="28"/>
  <c r="Q4" i="28"/>
  <c r="P4" i="28"/>
  <c r="O4" i="28"/>
  <c r="N4" i="28"/>
  <c r="M4" i="28"/>
  <c r="D22" i="27"/>
  <c r="D21" i="27"/>
  <c r="P19" i="27"/>
  <c r="P18" i="27"/>
  <c r="P17" i="27"/>
  <c r="D13" i="27"/>
  <c r="R24" i="27" s="1"/>
  <c r="D11" i="27"/>
  <c r="D11" i="26"/>
  <c r="C8" i="26"/>
  <c r="D13" i="26" s="1"/>
  <c r="D14" i="26" s="1"/>
  <c r="C7" i="26"/>
  <c r="D12" i="26" s="1"/>
  <c r="C6" i="26"/>
  <c r="C5" i="26"/>
  <c r="D10" i="26" s="1"/>
  <c r="Q55" i="30" s="1"/>
  <c r="C4" i="26"/>
  <c r="D9" i="26" s="1"/>
  <c r="C28" i="25"/>
  <c r="C48" i="25" s="1"/>
  <c r="B25" i="25"/>
  <c r="B24" i="25"/>
  <c r="C9" i="25"/>
  <c r="B9" i="25"/>
  <c r="E8" i="25"/>
  <c r="C8" i="25"/>
  <c r="D8" i="25" s="1"/>
  <c r="D4" i="25"/>
  <c r="G12" i="25" s="1"/>
  <c r="I12" i="25" s="1"/>
  <c r="E2" i="25"/>
  <c r="B28" i="24"/>
  <c r="G25" i="24"/>
  <c r="B24" i="24"/>
  <c r="G18" i="24"/>
  <c r="G21" i="24" s="1"/>
  <c r="G24" i="24" s="1"/>
  <c r="F18" i="24"/>
  <c r="F25" i="24" s="1"/>
  <c r="E18" i="24"/>
  <c r="E21" i="24" s="1"/>
  <c r="E24" i="24" s="1"/>
  <c r="D18" i="24"/>
  <c r="D25" i="24" s="1"/>
  <c r="C18" i="24"/>
  <c r="B18" i="24"/>
  <c r="B25" i="24" s="1"/>
  <c r="G17" i="24"/>
  <c r="F17" i="24"/>
  <c r="F20" i="24" s="1"/>
  <c r="E17" i="24"/>
  <c r="E20" i="24" s="1"/>
  <c r="D17" i="24"/>
  <c r="C17" i="24"/>
  <c r="D20" i="24" s="1"/>
  <c r="B17" i="24"/>
  <c r="F12" i="24"/>
  <c r="B11" i="24"/>
  <c r="G5" i="24"/>
  <c r="G8" i="24" s="1"/>
  <c r="G11" i="24" s="1"/>
  <c r="F5" i="24"/>
  <c r="E5" i="24"/>
  <c r="D5" i="24"/>
  <c r="C5" i="24"/>
  <c r="C12" i="24" s="1"/>
  <c r="B5" i="24"/>
  <c r="B12" i="24" s="1"/>
  <c r="G4" i="24"/>
  <c r="G7" i="24" s="1"/>
  <c r="F4" i="24"/>
  <c r="F7" i="24" s="1"/>
  <c r="E4" i="24"/>
  <c r="E7" i="24" s="1"/>
  <c r="D4" i="24"/>
  <c r="D7" i="24" s="1"/>
  <c r="C4" i="24"/>
  <c r="B4" i="24"/>
  <c r="X235" i="23"/>
  <c r="X234" i="23"/>
  <c r="X233" i="23"/>
  <c r="X232" i="23"/>
  <c r="X231" i="23"/>
  <c r="X230" i="23"/>
  <c r="X229" i="23"/>
  <c r="X228" i="23"/>
  <c r="X227" i="23"/>
  <c r="X226" i="23"/>
  <c r="X225" i="23"/>
  <c r="X224" i="23"/>
  <c r="X223" i="23"/>
  <c r="X222" i="23"/>
  <c r="X221" i="23"/>
  <c r="X220" i="23"/>
  <c r="X219" i="23"/>
  <c r="X218" i="23"/>
  <c r="X217" i="23"/>
  <c r="X216" i="23"/>
  <c r="X215" i="23"/>
  <c r="X214" i="23"/>
  <c r="X213" i="23"/>
  <c r="X212" i="23"/>
  <c r="X211" i="23"/>
  <c r="X210" i="23"/>
  <c r="X209" i="23"/>
  <c r="X208" i="23"/>
  <c r="X207" i="23"/>
  <c r="X206" i="23"/>
  <c r="X205" i="23"/>
  <c r="X204" i="23"/>
  <c r="X203" i="23"/>
  <c r="X202" i="23"/>
  <c r="X201" i="23"/>
  <c r="X200" i="23"/>
  <c r="X199" i="23"/>
  <c r="X198" i="23"/>
  <c r="X197" i="23"/>
  <c r="X196" i="23"/>
  <c r="X195" i="23"/>
  <c r="X194" i="23"/>
  <c r="X193" i="23"/>
  <c r="X192" i="23"/>
  <c r="X191" i="23"/>
  <c r="X190" i="23"/>
  <c r="X189" i="23"/>
  <c r="X188" i="23"/>
  <c r="X187" i="23"/>
  <c r="X186" i="23"/>
  <c r="X185" i="23"/>
  <c r="X184" i="23"/>
  <c r="X183" i="23"/>
  <c r="X182" i="23"/>
  <c r="X181" i="23"/>
  <c r="X180" i="23"/>
  <c r="X179" i="23"/>
  <c r="X178" i="23"/>
  <c r="X177" i="23"/>
  <c r="X176" i="23"/>
  <c r="X175" i="23"/>
  <c r="X174" i="23"/>
  <c r="X173" i="23"/>
  <c r="X172" i="23"/>
  <c r="X171" i="23"/>
  <c r="X170" i="23"/>
  <c r="X169" i="23"/>
  <c r="X168" i="23"/>
  <c r="X167" i="23"/>
  <c r="X166" i="23"/>
  <c r="X165" i="23"/>
  <c r="X164" i="23"/>
  <c r="X163" i="23"/>
  <c r="X162" i="23"/>
  <c r="X161" i="23"/>
  <c r="X160" i="23"/>
  <c r="X159" i="23"/>
  <c r="X158" i="23"/>
  <c r="X157" i="23"/>
  <c r="X156" i="23"/>
  <c r="X155" i="23"/>
  <c r="X154" i="23"/>
  <c r="X153" i="23"/>
  <c r="X152" i="23"/>
  <c r="X151" i="23"/>
  <c r="X150" i="23"/>
  <c r="X149" i="23"/>
  <c r="X148" i="23"/>
  <c r="X147" i="23"/>
  <c r="X146" i="23"/>
  <c r="X145" i="23"/>
  <c r="X144" i="23"/>
  <c r="X143" i="23"/>
  <c r="X142" i="23"/>
  <c r="X141" i="23"/>
  <c r="X140" i="23"/>
  <c r="X139" i="23"/>
  <c r="X138" i="23"/>
  <c r="X137" i="23"/>
  <c r="X136" i="23"/>
  <c r="X135" i="23"/>
  <c r="X134" i="23"/>
  <c r="X133" i="23"/>
  <c r="X132" i="23"/>
  <c r="X131" i="23"/>
  <c r="X130" i="23"/>
  <c r="X129" i="23"/>
  <c r="X128" i="23"/>
  <c r="X127" i="23"/>
  <c r="X126" i="23"/>
  <c r="X125" i="23"/>
  <c r="X124" i="23"/>
  <c r="X123" i="23"/>
  <c r="X122" i="23"/>
  <c r="X121" i="23"/>
  <c r="X120" i="23"/>
  <c r="X119" i="23"/>
  <c r="X118" i="23"/>
  <c r="X117" i="23"/>
  <c r="X116" i="23"/>
  <c r="X115" i="23"/>
  <c r="X114" i="23"/>
  <c r="X113" i="23"/>
  <c r="X112" i="23"/>
  <c r="X111" i="23"/>
  <c r="X110" i="23"/>
  <c r="X109" i="23"/>
  <c r="X108" i="23"/>
  <c r="X107" i="23"/>
  <c r="X106" i="23"/>
  <c r="X105" i="23"/>
  <c r="X104" i="23"/>
  <c r="X103" i="23"/>
  <c r="X102" i="23"/>
  <c r="X101" i="23"/>
  <c r="X100" i="23"/>
  <c r="X99" i="23"/>
  <c r="X98" i="23"/>
  <c r="X97" i="23"/>
  <c r="X96" i="23"/>
  <c r="H29" i="23"/>
  <c r="H28" i="23"/>
  <c r="I28" i="23" s="1"/>
  <c r="H27" i="23"/>
  <c r="I27" i="23" s="1"/>
  <c r="A21" i="23"/>
  <c r="A20" i="23"/>
  <c r="A19" i="23"/>
  <c r="A18" i="23"/>
  <c r="A17" i="23"/>
  <c r="A16" i="23"/>
  <c r="A15" i="23"/>
  <c r="A14" i="23"/>
  <c r="A13" i="23"/>
  <c r="A12" i="23"/>
  <c r="A11" i="23"/>
  <c r="A10" i="23"/>
  <c r="D8" i="23"/>
  <c r="C7" i="23"/>
  <c r="Q95" i="23" s="1"/>
  <c r="C6" i="23"/>
  <c r="Q31" i="23" s="1"/>
  <c r="C5" i="23"/>
  <c r="F4" i="23"/>
  <c r="C4" i="23"/>
  <c r="C3" i="23"/>
  <c r="H29" i="22"/>
  <c r="H28" i="22"/>
  <c r="I28" i="22" s="1"/>
  <c r="H27" i="22"/>
  <c r="I27" i="22" s="1"/>
  <c r="A21" i="22"/>
  <c r="A20" i="22"/>
  <c r="A19" i="22"/>
  <c r="A18" i="22"/>
  <c r="A17" i="22"/>
  <c r="A16" i="22"/>
  <c r="R15" i="22"/>
  <c r="A15" i="22"/>
  <c r="A14" i="22"/>
  <c r="A13" i="22"/>
  <c r="A12" i="22"/>
  <c r="A11" i="22"/>
  <c r="A10" i="22"/>
  <c r="D8" i="22"/>
  <c r="C7" i="22"/>
  <c r="Q81" i="22" s="1"/>
  <c r="C6" i="22"/>
  <c r="Q73" i="22" s="1"/>
  <c r="C5" i="22"/>
  <c r="F4" i="22"/>
  <c r="C4" i="22"/>
  <c r="C3" i="22"/>
  <c r="J6" i="21"/>
  <c r="G6" i="21"/>
  <c r="F6" i="21"/>
  <c r="E6" i="21"/>
  <c r="M6" i="21" s="1"/>
  <c r="D6" i="21"/>
  <c r="C6" i="21"/>
  <c r="L6" i="21" s="1"/>
  <c r="B6" i="21"/>
  <c r="G5" i="21"/>
  <c r="F5" i="21"/>
  <c r="E5" i="21"/>
  <c r="D5" i="21"/>
  <c r="C5" i="21"/>
  <c r="B5" i="21"/>
  <c r="J5" i="21" s="1"/>
  <c r="G51" i="20"/>
  <c r="E50" i="20"/>
  <c r="A50" i="20"/>
  <c r="E49" i="20"/>
  <c r="A49" i="20"/>
  <c r="E48" i="20"/>
  <c r="A48" i="20"/>
  <c r="E47" i="20"/>
  <c r="A47" i="20"/>
  <c r="E46" i="20"/>
  <c r="A46" i="20"/>
  <c r="E45" i="20"/>
  <c r="A45" i="20"/>
  <c r="E44" i="20"/>
  <c r="A44" i="20"/>
  <c r="E43" i="20"/>
  <c r="A43" i="20"/>
  <c r="E42" i="20"/>
  <c r="A42" i="20"/>
  <c r="E41" i="20"/>
  <c r="A41" i="20"/>
  <c r="E40" i="20"/>
  <c r="A40" i="20"/>
  <c r="E39" i="20"/>
  <c r="A39" i="20"/>
  <c r="E38" i="20"/>
  <c r="A38" i="20"/>
  <c r="E37" i="20"/>
  <c r="A37" i="20"/>
  <c r="E36" i="20"/>
  <c r="A36" i="20"/>
  <c r="E35" i="20"/>
  <c r="A35" i="20"/>
  <c r="E34" i="20"/>
  <c r="A34" i="20"/>
  <c r="E33" i="20"/>
  <c r="A33" i="20"/>
  <c r="E32" i="20"/>
  <c r="A32" i="20"/>
  <c r="A31" i="20"/>
  <c r="E30" i="20"/>
  <c r="A30" i="20"/>
  <c r="E29" i="20"/>
  <c r="A29" i="20"/>
  <c r="E28" i="20"/>
  <c r="A28" i="20"/>
  <c r="E27" i="20"/>
  <c r="A27" i="20"/>
  <c r="E26" i="20"/>
  <c r="A26" i="20"/>
  <c r="E25" i="20"/>
  <c r="A25" i="20"/>
  <c r="I24" i="20"/>
  <c r="J24" i="20" s="1"/>
  <c r="E24" i="20"/>
  <c r="A24" i="20"/>
  <c r="I23" i="20"/>
  <c r="E23" i="20"/>
  <c r="A23" i="20"/>
  <c r="I22" i="20"/>
  <c r="E22" i="20"/>
  <c r="A22" i="20"/>
  <c r="E21" i="20"/>
  <c r="A21" i="20"/>
  <c r="E20" i="20"/>
  <c r="A20" i="20"/>
  <c r="E19" i="20"/>
  <c r="A19" i="20"/>
  <c r="E18" i="20"/>
  <c r="A18" i="20"/>
  <c r="E17" i="20"/>
  <c r="A17" i="20"/>
  <c r="E16" i="20"/>
  <c r="A16" i="20"/>
  <c r="E15" i="20"/>
  <c r="A15" i="20"/>
  <c r="E14" i="20"/>
  <c r="A14" i="20"/>
  <c r="E13" i="20"/>
  <c r="A13" i="20"/>
  <c r="E12" i="20"/>
  <c r="A12" i="20"/>
  <c r="N260" i="20"/>
  <c r="P256" i="20"/>
  <c r="P255" i="20"/>
  <c r="N241" i="20"/>
  <c r="P237" i="20"/>
  <c r="N237" i="20"/>
  <c r="O222" i="20"/>
  <c r="N219" i="20"/>
  <c r="O217" i="20"/>
  <c r="O203" i="20"/>
  <c r="N200" i="20"/>
  <c r="O198" i="20"/>
  <c r="O184" i="20"/>
  <c r="N181" i="20"/>
  <c r="P179" i="20"/>
  <c r="P165" i="20"/>
  <c r="O162" i="20"/>
  <c r="P160" i="20"/>
  <c r="P146" i="20"/>
  <c r="P142" i="20"/>
  <c r="P141" i="20"/>
  <c r="P127" i="20"/>
  <c r="P123" i="20"/>
  <c r="N123" i="20"/>
  <c r="N109" i="20"/>
  <c r="N105" i="20"/>
  <c r="N104" i="20"/>
  <c r="O89" i="20"/>
  <c r="N86" i="20"/>
  <c r="N85" i="20"/>
  <c r="O70" i="20"/>
  <c r="N67" i="20"/>
  <c r="O66" i="20"/>
  <c r="P53" i="20"/>
  <c r="P50" i="20"/>
  <c r="O49" i="20"/>
  <c r="P37" i="20"/>
  <c r="P34" i="20"/>
  <c r="N33" i="20"/>
  <c r="O21" i="20"/>
  <c r="O18" i="20"/>
  <c r="N17" i="20"/>
  <c r="N11" i="20" a="1"/>
  <c r="N262" i="20" s="1"/>
  <c r="E11" i="20"/>
  <c r="A11" i="20"/>
  <c r="E10" i="20"/>
  <c r="A10" i="20"/>
  <c r="E9" i="20"/>
  <c r="A9" i="20"/>
  <c r="C6" i="20"/>
  <c r="C5" i="20"/>
  <c r="C4" i="20"/>
  <c r="G3" i="20"/>
  <c r="C3" i="20"/>
  <c r="C2" i="20"/>
  <c r="D31" i="20" s="1"/>
  <c r="E31" i="20" s="1"/>
  <c r="X235" i="19"/>
  <c r="X234" i="19"/>
  <c r="X233" i="19"/>
  <c r="X232" i="19"/>
  <c r="X231" i="19"/>
  <c r="X230" i="19"/>
  <c r="X229" i="19"/>
  <c r="X228" i="19"/>
  <c r="X227" i="19"/>
  <c r="X226" i="19"/>
  <c r="X225" i="19"/>
  <c r="X224" i="19"/>
  <c r="X223" i="19"/>
  <c r="X222" i="19"/>
  <c r="X221" i="19"/>
  <c r="X220" i="19"/>
  <c r="X219" i="19"/>
  <c r="X218" i="19"/>
  <c r="X217" i="19"/>
  <c r="X216" i="19"/>
  <c r="X215" i="19"/>
  <c r="X214" i="19"/>
  <c r="X213" i="19"/>
  <c r="X212" i="19"/>
  <c r="X211" i="19"/>
  <c r="X210" i="19"/>
  <c r="X209" i="19"/>
  <c r="X208" i="19"/>
  <c r="X207" i="19"/>
  <c r="X206" i="19"/>
  <c r="X205" i="19"/>
  <c r="X204" i="19"/>
  <c r="X203" i="19"/>
  <c r="X202" i="19"/>
  <c r="X201" i="19"/>
  <c r="X200" i="19"/>
  <c r="X199" i="19"/>
  <c r="X198" i="19"/>
  <c r="X197" i="19"/>
  <c r="X196" i="19"/>
  <c r="X195" i="19"/>
  <c r="X194" i="19"/>
  <c r="X193" i="19"/>
  <c r="X192" i="19"/>
  <c r="X191" i="19"/>
  <c r="X190" i="19"/>
  <c r="X189" i="19"/>
  <c r="X188" i="19"/>
  <c r="X187" i="19"/>
  <c r="X186" i="19"/>
  <c r="X185" i="19"/>
  <c r="X184" i="19"/>
  <c r="X183" i="19"/>
  <c r="X182" i="19"/>
  <c r="X181" i="19"/>
  <c r="X180" i="19"/>
  <c r="X179" i="19"/>
  <c r="X178" i="19"/>
  <c r="X177" i="19"/>
  <c r="X176" i="19"/>
  <c r="X175" i="19"/>
  <c r="X174" i="19"/>
  <c r="X173" i="19"/>
  <c r="X172" i="19"/>
  <c r="X171" i="19"/>
  <c r="X170" i="19"/>
  <c r="X169" i="19"/>
  <c r="X168" i="19"/>
  <c r="X167" i="19"/>
  <c r="X166" i="19"/>
  <c r="X165" i="19"/>
  <c r="X164" i="19"/>
  <c r="X163" i="19"/>
  <c r="X162" i="19"/>
  <c r="X161" i="19"/>
  <c r="X160" i="19"/>
  <c r="X159" i="19"/>
  <c r="X158" i="19"/>
  <c r="X157" i="19"/>
  <c r="X156" i="19"/>
  <c r="X155" i="19"/>
  <c r="X154" i="19"/>
  <c r="X153" i="19"/>
  <c r="X152" i="19"/>
  <c r="X151" i="19"/>
  <c r="X150" i="19"/>
  <c r="X149" i="19"/>
  <c r="X148" i="19"/>
  <c r="X147" i="19"/>
  <c r="X146" i="19"/>
  <c r="X145" i="19"/>
  <c r="X144" i="19"/>
  <c r="X143" i="19"/>
  <c r="X142" i="19"/>
  <c r="X141" i="19"/>
  <c r="X140" i="19"/>
  <c r="X139" i="19"/>
  <c r="X138" i="19"/>
  <c r="X137" i="19"/>
  <c r="X136" i="19"/>
  <c r="X135" i="19"/>
  <c r="X134" i="19"/>
  <c r="X133" i="19"/>
  <c r="X132" i="19"/>
  <c r="X131" i="19"/>
  <c r="X130" i="19"/>
  <c r="X129" i="19"/>
  <c r="X128" i="19"/>
  <c r="X127" i="19"/>
  <c r="X126" i="19"/>
  <c r="X125" i="19"/>
  <c r="X124" i="19"/>
  <c r="X123" i="19"/>
  <c r="X122" i="19"/>
  <c r="X121" i="19"/>
  <c r="X120" i="19"/>
  <c r="X119" i="19"/>
  <c r="X118" i="19"/>
  <c r="X117" i="19"/>
  <c r="X116" i="19"/>
  <c r="X115" i="19"/>
  <c r="X114" i="19"/>
  <c r="X113" i="19"/>
  <c r="X112" i="19"/>
  <c r="X111" i="19"/>
  <c r="X110" i="19"/>
  <c r="X109" i="19"/>
  <c r="X108" i="19"/>
  <c r="X107" i="19"/>
  <c r="X106" i="19"/>
  <c r="X105" i="19"/>
  <c r="X104" i="19"/>
  <c r="X103" i="19"/>
  <c r="X102" i="19"/>
  <c r="X101" i="19"/>
  <c r="X100" i="19"/>
  <c r="X99" i="19"/>
  <c r="X98" i="19"/>
  <c r="X97" i="19"/>
  <c r="X96" i="19"/>
  <c r="J37" i="19"/>
  <c r="I37" i="19"/>
  <c r="H28" i="19"/>
  <c r="H27" i="19"/>
  <c r="I27" i="19" s="1"/>
  <c r="H26" i="19"/>
  <c r="I26" i="19" s="1"/>
  <c r="R22" i="19"/>
  <c r="R21" i="19"/>
  <c r="A21" i="19"/>
  <c r="A20" i="19"/>
  <c r="R19" i="19"/>
  <c r="A19" i="19"/>
  <c r="A18" i="19"/>
  <c r="R17" i="19"/>
  <c r="A17" i="19"/>
  <c r="R16" i="19"/>
  <c r="A16" i="19"/>
  <c r="A15" i="19"/>
  <c r="R14" i="19"/>
  <c r="A14" i="19"/>
  <c r="R13" i="19"/>
  <c r="A13" i="19"/>
  <c r="R12" i="19"/>
  <c r="A12" i="19"/>
  <c r="R32" i="19" s="1"/>
  <c r="A11" i="19"/>
  <c r="A10" i="19"/>
  <c r="R29" i="19" s="1"/>
  <c r="C7" i="19"/>
  <c r="C6" i="19"/>
  <c r="C5" i="19"/>
  <c r="F4" i="19"/>
  <c r="C4" i="19"/>
  <c r="C3" i="19"/>
  <c r="D21" i="19" s="1"/>
  <c r="K79" i="18"/>
  <c r="J79" i="18"/>
  <c r="K78" i="18"/>
  <c r="J78" i="18"/>
  <c r="K77" i="18"/>
  <c r="J77" i="18"/>
  <c r="K76" i="18"/>
  <c r="J76" i="18"/>
  <c r="K75" i="18"/>
  <c r="J75" i="18"/>
  <c r="K74" i="18"/>
  <c r="J74" i="18"/>
  <c r="K73" i="18"/>
  <c r="J73" i="18"/>
  <c r="K72" i="18"/>
  <c r="J72" i="18"/>
  <c r="K71" i="18"/>
  <c r="J71" i="18"/>
  <c r="K70" i="18"/>
  <c r="J70" i="18"/>
  <c r="K69" i="18"/>
  <c r="J69" i="18"/>
  <c r="K68" i="18"/>
  <c r="J68" i="18"/>
  <c r="K67" i="18"/>
  <c r="J67" i="18"/>
  <c r="K66" i="18"/>
  <c r="J66" i="18"/>
  <c r="K65" i="18"/>
  <c r="J65" i="18"/>
  <c r="K64" i="18"/>
  <c r="J64" i="18"/>
  <c r="K63" i="18"/>
  <c r="J63" i="18"/>
  <c r="K62" i="18"/>
  <c r="J62" i="18"/>
  <c r="K61" i="18"/>
  <c r="J61" i="18"/>
  <c r="K60" i="18"/>
  <c r="J60" i="18"/>
  <c r="K59" i="18"/>
  <c r="J59" i="18"/>
  <c r="K58" i="18"/>
  <c r="J58" i="18"/>
  <c r="K57" i="18"/>
  <c r="J57" i="18"/>
  <c r="K56" i="18"/>
  <c r="J56" i="18"/>
  <c r="E37" i="18"/>
  <c r="G37" i="18"/>
  <c r="F37" i="18"/>
  <c r="B30" i="18"/>
  <c r="G29" i="18"/>
  <c r="G31" i="18" s="1"/>
  <c r="F29" i="18"/>
  <c r="F31" i="18" s="1"/>
  <c r="E29" i="18"/>
  <c r="E31" i="18" s="1"/>
  <c r="B31" i="18"/>
  <c r="B11" i="18"/>
  <c r="B14" i="18" s="1"/>
  <c r="C6" i="18"/>
  <c r="C36" i="17"/>
  <c r="D36" i="17" s="1"/>
  <c r="C35" i="17"/>
  <c r="D35" i="17" s="1"/>
  <c r="C34" i="17"/>
  <c r="D34" i="17" s="1"/>
  <c r="C33" i="17"/>
  <c r="B33" i="17"/>
  <c r="C32" i="17"/>
  <c r="B32" i="17"/>
  <c r="D32" i="17" s="1"/>
  <c r="E15" i="17"/>
  <c r="O13" i="17" s="1"/>
  <c r="P14" i="17"/>
  <c r="M14" i="17"/>
  <c r="E14" i="17"/>
  <c r="N13" i="17" s="1"/>
  <c r="P13" i="17"/>
  <c r="M13" i="17"/>
  <c r="E13" i="17"/>
  <c r="P12" i="17"/>
  <c r="O12" i="17"/>
  <c r="M12" i="17"/>
  <c r="E12" i="17"/>
  <c r="N12" i="17" s="1"/>
  <c r="D8" i="17"/>
  <c r="C17" i="17" s="1"/>
  <c r="E17" i="17" s="1"/>
  <c r="O14" i="17" s="1"/>
  <c r="O6" i="16"/>
  <c r="N6" i="16"/>
  <c r="M6" i="16"/>
  <c r="V788" i="15"/>
  <c r="U788" i="15"/>
  <c r="V787" i="15"/>
  <c r="U787" i="15"/>
  <c r="V786" i="15"/>
  <c r="U786" i="15"/>
  <c r="V785" i="15"/>
  <c r="U785" i="15"/>
  <c r="V784" i="15"/>
  <c r="U784" i="15"/>
  <c r="V783" i="15"/>
  <c r="U783" i="15"/>
  <c r="V782" i="15"/>
  <c r="U782" i="15"/>
  <c r="V781" i="15"/>
  <c r="U781" i="15"/>
  <c r="V780" i="15"/>
  <c r="U780" i="15"/>
  <c r="V779" i="15"/>
  <c r="U779" i="15"/>
  <c r="V778" i="15"/>
  <c r="U778" i="15"/>
  <c r="V777" i="15"/>
  <c r="U777" i="15"/>
  <c r="V776" i="15"/>
  <c r="U776" i="15"/>
  <c r="V775" i="15"/>
  <c r="U775" i="15"/>
  <c r="V774" i="15"/>
  <c r="U774" i="15"/>
  <c r="V773" i="15"/>
  <c r="U773" i="15"/>
  <c r="V772" i="15"/>
  <c r="U772" i="15"/>
  <c r="V771" i="15"/>
  <c r="U771" i="15"/>
  <c r="V770" i="15"/>
  <c r="U770" i="15"/>
  <c r="V769" i="15"/>
  <c r="U769" i="15"/>
  <c r="V768" i="15"/>
  <c r="U768" i="15"/>
  <c r="V767" i="15"/>
  <c r="U767" i="15"/>
  <c r="V766" i="15"/>
  <c r="U766" i="15"/>
  <c r="V765" i="15"/>
  <c r="U765" i="15"/>
  <c r="V764" i="15"/>
  <c r="U764" i="15"/>
  <c r="V763" i="15"/>
  <c r="U763" i="15"/>
  <c r="V762" i="15"/>
  <c r="U762" i="15"/>
  <c r="V761" i="15"/>
  <c r="U761" i="15"/>
  <c r="V760" i="15"/>
  <c r="U760" i="15"/>
  <c r="V759" i="15"/>
  <c r="U759" i="15"/>
  <c r="V758" i="15"/>
  <c r="U758" i="15"/>
  <c r="V757" i="15"/>
  <c r="U757" i="15"/>
  <c r="V756" i="15"/>
  <c r="U756" i="15"/>
  <c r="V755" i="15"/>
  <c r="U755" i="15"/>
  <c r="V754" i="15"/>
  <c r="U754" i="15"/>
  <c r="V753" i="15"/>
  <c r="U753" i="15"/>
  <c r="V752" i="15"/>
  <c r="U752" i="15"/>
  <c r="V751" i="15"/>
  <c r="U751" i="15"/>
  <c r="V750" i="15"/>
  <c r="U750" i="15"/>
  <c r="V749" i="15"/>
  <c r="U749" i="15"/>
  <c r="V748" i="15"/>
  <c r="U748" i="15"/>
  <c r="V747" i="15"/>
  <c r="U747" i="15"/>
  <c r="V746" i="15"/>
  <c r="U746" i="15"/>
  <c r="V745" i="15"/>
  <c r="U745" i="15"/>
  <c r="V744" i="15"/>
  <c r="U744" i="15"/>
  <c r="V743" i="15"/>
  <c r="U743" i="15"/>
  <c r="V742" i="15"/>
  <c r="U742" i="15"/>
  <c r="V741" i="15"/>
  <c r="U741" i="15"/>
  <c r="V740" i="15"/>
  <c r="U740" i="15"/>
  <c r="V739" i="15"/>
  <c r="U739" i="15"/>
  <c r="V738" i="15"/>
  <c r="U738" i="15"/>
  <c r="V737" i="15"/>
  <c r="U737" i="15"/>
  <c r="V736" i="15"/>
  <c r="U736" i="15"/>
  <c r="V735" i="15"/>
  <c r="U735" i="15"/>
  <c r="V734" i="15"/>
  <c r="U734" i="15"/>
  <c r="V733" i="15"/>
  <c r="U733" i="15"/>
  <c r="V732" i="15"/>
  <c r="U732" i="15"/>
  <c r="V731" i="15"/>
  <c r="U731" i="15"/>
  <c r="V730" i="15"/>
  <c r="U730" i="15"/>
  <c r="V729" i="15"/>
  <c r="U729" i="15"/>
  <c r="V728" i="15"/>
  <c r="U728" i="15"/>
  <c r="V727" i="15"/>
  <c r="U727" i="15"/>
  <c r="V726" i="15"/>
  <c r="U726" i="15"/>
  <c r="V725" i="15"/>
  <c r="U725" i="15"/>
  <c r="V724" i="15"/>
  <c r="U724" i="15"/>
  <c r="V723" i="15"/>
  <c r="U723" i="15"/>
  <c r="V722" i="15"/>
  <c r="U722" i="15"/>
  <c r="V721" i="15"/>
  <c r="U721" i="15"/>
  <c r="V720" i="15"/>
  <c r="U720" i="15"/>
  <c r="V719" i="15"/>
  <c r="U719" i="15"/>
  <c r="V718" i="15"/>
  <c r="U718" i="15"/>
  <c r="V717" i="15"/>
  <c r="U717" i="15"/>
  <c r="V716" i="15"/>
  <c r="U716" i="15"/>
  <c r="V715" i="15"/>
  <c r="U715" i="15"/>
  <c r="V714" i="15"/>
  <c r="U714" i="15"/>
  <c r="V713" i="15"/>
  <c r="U713" i="15"/>
  <c r="V712" i="15"/>
  <c r="U712" i="15"/>
  <c r="V711" i="15"/>
  <c r="U711" i="15"/>
  <c r="V710" i="15"/>
  <c r="U710" i="15"/>
  <c r="V709" i="15"/>
  <c r="U709" i="15"/>
  <c r="V708" i="15"/>
  <c r="U708" i="15"/>
  <c r="V707" i="15"/>
  <c r="U707" i="15"/>
  <c r="V706" i="15"/>
  <c r="U706" i="15"/>
  <c r="V705" i="15"/>
  <c r="U705" i="15"/>
  <c r="V704" i="15"/>
  <c r="U704" i="15"/>
  <c r="V703" i="15"/>
  <c r="U703" i="15"/>
  <c r="V702" i="15"/>
  <c r="U702" i="15"/>
  <c r="V701" i="15"/>
  <c r="U701" i="15"/>
  <c r="V700" i="15"/>
  <c r="U700" i="15"/>
  <c r="V699" i="15"/>
  <c r="U699" i="15"/>
  <c r="V698" i="15"/>
  <c r="U698" i="15"/>
  <c r="V697" i="15"/>
  <c r="U697" i="15"/>
  <c r="V696" i="15"/>
  <c r="U696" i="15"/>
  <c r="V695" i="15"/>
  <c r="U695" i="15"/>
  <c r="V694" i="15"/>
  <c r="U694" i="15"/>
  <c r="V693" i="15"/>
  <c r="U693" i="15"/>
  <c r="V692" i="15"/>
  <c r="U692" i="15"/>
  <c r="V691" i="15"/>
  <c r="U691" i="15"/>
  <c r="V690" i="15"/>
  <c r="U690" i="15"/>
  <c r="V689" i="15"/>
  <c r="U689" i="15"/>
  <c r="V688" i="15"/>
  <c r="U688" i="15"/>
  <c r="V687" i="15"/>
  <c r="U687" i="15"/>
  <c r="V686" i="15"/>
  <c r="U686" i="15"/>
  <c r="V685" i="15"/>
  <c r="U685" i="15"/>
  <c r="V684" i="15"/>
  <c r="U684" i="15"/>
  <c r="V683" i="15"/>
  <c r="U683" i="15"/>
  <c r="V682" i="15"/>
  <c r="U682" i="15"/>
  <c r="V681" i="15"/>
  <c r="U681" i="15"/>
  <c r="V680" i="15"/>
  <c r="U680" i="15"/>
  <c r="V679" i="15"/>
  <c r="U679" i="15"/>
  <c r="V678" i="15"/>
  <c r="U678" i="15"/>
  <c r="V677" i="15"/>
  <c r="U677" i="15"/>
  <c r="L297" i="15"/>
  <c r="K297" i="15"/>
  <c r="L296" i="15"/>
  <c r="K296" i="15"/>
  <c r="L295" i="15"/>
  <c r="K295" i="15"/>
  <c r="L294" i="15"/>
  <c r="K294" i="15"/>
  <c r="L293" i="15"/>
  <c r="K293" i="15"/>
  <c r="L292" i="15"/>
  <c r="K292" i="15"/>
  <c r="L291" i="15"/>
  <c r="K291" i="15"/>
  <c r="L290" i="15"/>
  <c r="K290" i="15"/>
  <c r="L289" i="15"/>
  <c r="K289" i="15"/>
  <c r="L288" i="15"/>
  <c r="K288" i="15"/>
  <c r="L287" i="15"/>
  <c r="K287" i="15"/>
  <c r="L286" i="15"/>
  <c r="K286" i="15"/>
  <c r="L285" i="15"/>
  <c r="K285" i="15"/>
  <c r="L284" i="15"/>
  <c r="K284" i="15"/>
  <c r="L283" i="15"/>
  <c r="K283" i="15"/>
  <c r="L282" i="15"/>
  <c r="K282" i="15"/>
  <c r="L281" i="15"/>
  <c r="K281" i="15"/>
  <c r="L280" i="15"/>
  <c r="K280" i="15"/>
  <c r="L279" i="15"/>
  <c r="K279" i="15"/>
  <c r="L278" i="15"/>
  <c r="K278" i="15"/>
  <c r="L277" i="15"/>
  <c r="K277" i="15"/>
  <c r="L276" i="15"/>
  <c r="K276" i="15"/>
  <c r="L275" i="15"/>
  <c r="K275" i="15"/>
  <c r="L274" i="15"/>
  <c r="K274" i="15"/>
  <c r="L273" i="15"/>
  <c r="K273" i="15"/>
  <c r="L272" i="15"/>
  <c r="K272" i="15"/>
  <c r="L271" i="15"/>
  <c r="K271" i="15"/>
  <c r="L270" i="15"/>
  <c r="K270" i="15"/>
  <c r="L269" i="15"/>
  <c r="K269" i="15"/>
  <c r="L268" i="15"/>
  <c r="K268" i="15"/>
  <c r="L267" i="15"/>
  <c r="K267" i="15"/>
  <c r="L266" i="15"/>
  <c r="K266" i="15"/>
  <c r="L265" i="15"/>
  <c r="K265" i="15"/>
  <c r="L264" i="15"/>
  <c r="K264" i="15"/>
  <c r="L263" i="15"/>
  <c r="K263" i="15"/>
  <c r="L262" i="15"/>
  <c r="K262" i="15"/>
  <c r="L261" i="15"/>
  <c r="K261" i="15"/>
  <c r="L260" i="15"/>
  <c r="K260" i="15"/>
  <c r="L259" i="15"/>
  <c r="K259" i="15"/>
  <c r="L258" i="15"/>
  <c r="K258" i="15"/>
  <c r="L257" i="15"/>
  <c r="K257" i="15"/>
  <c r="L256" i="15"/>
  <c r="K256" i="15"/>
  <c r="W254" i="15"/>
  <c r="V254" i="15"/>
  <c r="U254" i="15"/>
  <c r="T254" i="15"/>
  <c r="W253" i="15"/>
  <c r="V253" i="15"/>
  <c r="U253" i="15"/>
  <c r="T253" i="15"/>
  <c r="W252" i="15"/>
  <c r="V252" i="15"/>
  <c r="U252" i="15"/>
  <c r="T252" i="15"/>
  <c r="W251" i="15"/>
  <c r="V251" i="15"/>
  <c r="U251" i="15"/>
  <c r="T251" i="15"/>
  <c r="W250" i="15"/>
  <c r="V250" i="15"/>
  <c r="U250" i="15"/>
  <c r="T250" i="15"/>
  <c r="W249" i="15"/>
  <c r="V249" i="15"/>
  <c r="U249" i="15"/>
  <c r="T249" i="15"/>
  <c r="W248" i="15"/>
  <c r="V248" i="15"/>
  <c r="U248" i="15"/>
  <c r="T248" i="15"/>
  <c r="W247" i="15"/>
  <c r="V247" i="15"/>
  <c r="U247" i="15"/>
  <c r="T247" i="15"/>
  <c r="W246" i="15"/>
  <c r="V246" i="15"/>
  <c r="U246" i="15"/>
  <c r="T246" i="15"/>
  <c r="W245" i="15"/>
  <c r="V245" i="15"/>
  <c r="U245" i="15"/>
  <c r="T245" i="15"/>
  <c r="W244" i="15"/>
  <c r="V244" i="15"/>
  <c r="U244" i="15"/>
  <c r="T244" i="15"/>
  <c r="W243" i="15"/>
  <c r="V243" i="15"/>
  <c r="U243" i="15"/>
  <c r="T243" i="15"/>
  <c r="W242" i="15"/>
  <c r="V242" i="15"/>
  <c r="U242" i="15"/>
  <c r="T242" i="15"/>
  <c r="W241" i="15"/>
  <c r="V241" i="15"/>
  <c r="U241" i="15"/>
  <c r="T241" i="15"/>
  <c r="W240" i="15"/>
  <c r="V240" i="15"/>
  <c r="U240" i="15"/>
  <c r="T240" i="15"/>
  <c r="W239" i="15"/>
  <c r="V239" i="15"/>
  <c r="U239" i="15"/>
  <c r="T239" i="15"/>
  <c r="W238" i="15"/>
  <c r="V238" i="15"/>
  <c r="U238" i="15"/>
  <c r="T238" i="15"/>
  <c r="W237" i="15"/>
  <c r="V237" i="15"/>
  <c r="U237" i="15"/>
  <c r="T237" i="15"/>
  <c r="W236" i="15"/>
  <c r="V236" i="15"/>
  <c r="U236" i="15"/>
  <c r="T236" i="15"/>
  <c r="W235" i="15"/>
  <c r="V235" i="15"/>
  <c r="U235" i="15"/>
  <c r="T235" i="15"/>
  <c r="W234" i="15"/>
  <c r="V234" i="15"/>
  <c r="U234" i="15"/>
  <c r="T234" i="15"/>
  <c r="W233" i="15"/>
  <c r="V233" i="15"/>
  <c r="U233" i="15"/>
  <c r="T233" i="15"/>
  <c r="W232" i="15"/>
  <c r="V232" i="15"/>
  <c r="U232" i="15"/>
  <c r="T232" i="15"/>
  <c r="W231" i="15"/>
  <c r="V231" i="15"/>
  <c r="U231" i="15"/>
  <c r="T231" i="15"/>
  <c r="W230" i="15"/>
  <c r="V230" i="15"/>
  <c r="U230" i="15"/>
  <c r="T230" i="15"/>
  <c r="W229" i="15"/>
  <c r="V229" i="15"/>
  <c r="U229" i="15"/>
  <c r="T229" i="15"/>
  <c r="W228" i="15"/>
  <c r="V228" i="15"/>
  <c r="U228" i="15"/>
  <c r="T228" i="15"/>
  <c r="W227" i="15"/>
  <c r="V227" i="15"/>
  <c r="U227" i="15"/>
  <c r="T227" i="15"/>
  <c r="W226" i="15"/>
  <c r="V226" i="15"/>
  <c r="U226" i="15"/>
  <c r="T226" i="15"/>
  <c r="W225" i="15"/>
  <c r="V225" i="15"/>
  <c r="U225" i="15"/>
  <c r="T225" i="15"/>
  <c r="W224" i="15"/>
  <c r="V224" i="15"/>
  <c r="U224" i="15"/>
  <c r="T224" i="15"/>
  <c r="W223" i="15"/>
  <c r="V223" i="15"/>
  <c r="U223" i="15"/>
  <c r="T223" i="15"/>
  <c r="W222" i="15"/>
  <c r="V222" i="15"/>
  <c r="U222" i="15"/>
  <c r="T222" i="15"/>
  <c r="W221" i="15"/>
  <c r="V221" i="15"/>
  <c r="U221" i="15"/>
  <c r="T221" i="15"/>
  <c r="W220" i="15"/>
  <c r="V220" i="15"/>
  <c r="U220" i="15"/>
  <c r="T220" i="15"/>
  <c r="W219" i="15"/>
  <c r="V219" i="15"/>
  <c r="U219" i="15"/>
  <c r="T219" i="15"/>
  <c r="W218" i="15"/>
  <c r="V218" i="15"/>
  <c r="U218" i="15"/>
  <c r="T218" i="15"/>
  <c r="W217" i="15"/>
  <c r="V217" i="15"/>
  <c r="U217" i="15"/>
  <c r="T217" i="15"/>
  <c r="W216" i="15"/>
  <c r="V216" i="15"/>
  <c r="U216" i="15"/>
  <c r="T216" i="15"/>
  <c r="W215" i="15"/>
  <c r="V215" i="15"/>
  <c r="U215" i="15"/>
  <c r="T215" i="15"/>
  <c r="W214" i="15"/>
  <c r="V214" i="15"/>
  <c r="U214" i="15"/>
  <c r="T214" i="15"/>
  <c r="W213" i="15"/>
  <c r="V213" i="15"/>
  <c r="U213" i="15"/>
  <c r="T213" i="15"/>
  <c r="W212" i="15"/>
  <c r="V212" i="15"/>
  <c r="U212" i="15"/>
  <c r="T212" i="15"/>
  <c r="W211" i="15"/>
  <c r="V211" i="15"/>
  <c r="U211" i="15"/>
  <c r="T211" i="15"/>
  <c r="W210" i="15"/>
  <c r="V210" i="15"/>
  <c r="U210" i="15"/>
  <c r="T210" i="15"/>
  <c r="W209" i="15"/>
  <c r="V209" i="15"/>
  <c r="U209" i="15"/>
  <c r="T209" i="15"/>
  <c r="W208" i="15"/>
  <c r="V208" i="15"/>
  <c r="U208" i="15"/>
  <c r="T208" i="15"/>
  <c r="W207" i="15"/>
  <c r="V207" i="15"/>
  <c r="U207" i="15"/>
  <c r="T207" i="15"/>
  <c r="W206" i="15"/>
  <c r="V206" i="15"/>
  <c r="U206" i="15"/>
  <c r="T206" i="15"/>
  <c r="W205" i="15"/>
  <c r="V205" i="15"/>
  <c r="U205" i="15"/>
  <c r="T205" i="15"/>
  <c r="W204" i="15"/>
  <c r="V204" i="15"/>
  <c r="U204" i="15"/>
  <c r="T204" i="15"/>
  <c r="W203" i="15"/>
  <c r="V203" i="15"/>
  <c r="U203" i="15"/>
  <c r="T203" i="15"/>
  <c r="W202" i="15"/>
  <c r="V202" i="15"/>
  <c r="U202" i="15"/>
  <c r="T202" i="15"/>
  <c r="W201" i="15"/>
  <c r="V201" i="15"/>
  <c r="U201" i="15"/>
  <c r="T201" i="15"/>
  <c r="W200" i="15"/>
  <c r="V200" i="15"/>
  <c r="U200" i="15"/>
  <c r="T200" i="15"/>
  <c r="W199" i="15"/>
  <c r="V199" i="15"/>
  <c r="U199" i="15"/>
  <c r="T199" i="15"/>
  <c r="W198" i="15"/>
  <c r="V198" i="15"/>
  <c r="U198" i="15"/>
  <c r="T198" i="15"/>
  <c r="W197" i="15"/>
  <c r="V197" i="15"/>
  <c r="U197" i="15"/>
  <c r="T197" i="15"/>
  <c r="W196" i="15"/>
  <c r="V196" i="15"/>
  <c r="U196" i="15"/>
  <c r="T196" i="15"/>
  <c r="W195" i="15"/>
  <c r="V195" i="15"/>
  <c r="U195" i="15"/>
  <c r="T195" i="15"/>
  <c r="W194" i="15"/>
  <c r="V194" i="15"/>
  <c r="U194" i="15"/>
  <c r="T194" i="15"/>
  <c r="W193" i="15"/>
  <c r="V193" i="15"/>
  <c r="U193" i="15"/>
  <c r="T193" i="15"/>
  <c r="W192" i="15"/>
  <c r="V192" i="15"/>
  <c r="U192" i="15"/>
  <c r="T192" i="15"/>
  <c r="W191" i="15"/>
  <c r="V191" i="15"/>
  <c r="U191" i="15"/>
  <c r="T191" i="15"/>
  <c r="W190" i="15"/>
  <c r="V190" i="15"/>
  <c r="U190" i="15"/>
  <c r="T190" i="15"/>
  <c r="W189" i="15"/>
  <c r="V189" i="15"/>
  <c r="U189" i="15"/>
  <c r="T189" i="15"/>
  <c r="W188" i="15"/>
  <c r="V188" i="15"/>
  <c r="U188" i="15"/>
  <c r="T188" i="15"/>
  <c r="W187" i="15"/>
  <c r="V187" i="15"/>
  <c r="U187" i="15"/>
  <c r="T187" i="15"/>
  <c r="W186" i="15"/>
  <c r="V186" i="15"/>
  <c r="U186" i="15"/>
  <c r="T186" i="15"/>
  <c r="W185" i="15"/>
  <c r="V185" i="15"/>
  <c r="U185" i="15"/>
  <c r="T185" i="15"/>
  <c r="W184" i="15"/>
  <c r="V184" i="15"/>
  <c r="U184" i="15"/>
  <c r="T184" i="15"/>
  <c r="W183" i="15"/>
  <c r="V183" i="15"/>
  <c r="U183" i="15"/>
  <c r="T183" i="15"/>
  <c r="W182" i="15"/>
  <c r="V182" i="15"/>
  <c r="U182" i="15"/>
  <c r="T182" i="15"/>
  <c r="W181" i="15"/>
  <c r="V181" i="15"/>
  <c r="U181" i="15"/>
  <c r="T181" i="15"/>
  <c r="W180" i="15"/>
  <c r="V180" i="15"/>
  <c r="U180" i="15"/>
  <c r="T180" i="15"/>
  <c r="W179" i="15"/>
  <c r="V179" i="15"/>
  <c r="U179" i="15"/>
  <c r="T179" i="15"/>
  <c r="W178" i="15"/>
  <c r="V178" i="15"/>
  <c r="U178" i="15"/>
  <c r="T178" i="15"/>
  <c r="W177" i="15"/>
  <c r="V177" i="15"/>
  <c r="U177" i="15"/>
  <c r="T177" i="15"/>
  <c r="W176" i="15"/>
  <c r="V176" i="15"/>
  <c r="U176" i="15"/>
  <c r="T176" i="15"/>
  <c r="W175" i="15"/>
  <c r="V175" i="15"/>
  <c r="U175" i="15"/>
  <c r="T175" i="15"/>
  <c r="W174" i="15"/>
  <c r="V174" i="15"/>
  <c r="U174" i="15"/>
  <c r="T174" i="15"/>
  <c r="W173" i="15"/>
  <c r="V173" i="15"/>
  <c r="U173" i="15"/>
  <c r="T173" i="15"/>
  <c r="W172" i="15"/>
  <c r="V172" i="15"/>
  <c r="U172" i="15"/>
  <c r="T172" i="15"/>
  <c r="W171" i="15"/>
  <c r="V171" i="15"/>
  <c r="U171" i="15"/>
  <c r="T171" i="15"/>
  <c r="W170" i="15"/>
  <c r="V170" i="15"/>
  <c r="U170" i="15"/>
  <c r="T170" i="15"/>
  <c r="W169" i="15"/>
  <c r="V169" i="15"/>
  <c r="U169" i="15"/>
  <c r="T169" i="15"/>
  <c r="W168" i="15"/>
  <c r="V168" i="15"/>
  <c r="U168" i="15"/>
  <c r="T168" i="15"/>
  <c r="W167" i="15"/>
  <c r="V167" i="15"/>
  <c r="U167" i="15"/>
  <c r="T167" i="15"/>
  <c r="W166" i="15"/>
  <c r="V166" i="15"/>
  <c r="U166" i="15"/>
  <c r="T166" i="15"/>
  <c r="W165" i="15"/>
  <c r="V165" i="15"/>
  <c r="U165" i="15"/>
  <c r="T165" i="15"/>
  <c r="W164" i="15"/>
  <c r="V164" i="15"/>
  <c r="U164" i="15"/>
  <c r="T164" i="15"/>
  <c r="W163" i="15"/>
  <c r="V163" i="15"/>
  <c r="U163" i="15"/>
  <c r="T163" i="15"/>
  <c r="W162" i="15"/>
  <c r="V162" i="15"/>
  <c r="U162" i="15"/>
  <c r="T162" i="15"/>
  <c r="W161" i="15"/>
  <c r="V161" i="15"/>
  <c r="U161" i="15"/>
  <c r="T161" i="15"/>
  <c r="W160" i="15"/>
  <c r="V160" i="15"/>
  <c r="U160" i="15"/>
  <c r="T160" i="15"/>
  <c r="W159" i="15"/>
  <c r="V159" i="15"/>
  <c r="U159" i="15"/>
  <c r="T159" i="15"/>
  <c r="W158" i="15"/>
  <c r="V158" i="15"/>
  <c r="U158" i="15"/>
  <c r="T158" i="15"/>
  <c r="W157" i="15"/>
  <c r="V157" i="15"/>
  <c r="U157" i="15"/>
  <c r="T157" i="15"/>
  <c r="W156" i="15"/>
  <c r="V156" i="15"/>
  <c r="U156" i="15"/>
  <c r="T156" i="15"/>
  <c r="W155" i="15"/>
  <c r="V155" i="15"/>
  <c r="U155" i="15"/>
  <c r="T155" i="15"/>
  <c r="W154" i="15"/>
  <c r="V154" i="15"/>
  <c r="U154" i="15"/>
  <c r="T154" i="15"/>
  <c r="W153" i="15"/>
  <c r="V153" i="15"/>
  <c r="U153" i="15"/>
  <c r="T153" i="15"/>
  <c r="W152" i="15"/>
  <c r="V152" i="15"/>
  <c r="U152" i="15"/>
  <c r="T152" i="15"/>
  <c r="W151" i="15"/>
  <c r="V151" i="15"/>
  <c r="U151" i="15"/>
  <c r="T151" i="15"/>
  <c r="W150" i="15"/>
  <c r="V150" i="15"/>
  <c r="U150" i="15"/>
  <c r="T150" i="15"/>
  <c r="W149" i="15"/>
  <c r="V149" i="15"/>
  <c r="U149" i="15"/>
  <c r="T149" i="15"/>
  <c r="W148" i="15"/>
  <c r="V148" i="15"/>
  <c r="U148" i="15"/>
  <c r="T148" i="15"/>
  <c r="W147" i="15"/>
  <c r="V147" i="15"/>
  <c r="U147" i="15"/>
  <c r="T147" i="15"/>
  <c r="W146" i="15"/>
  <c r="V146" i="15"/>
  <c r="U146" i="15"/>
  <c r="T146" i="15"/>
  <c r="W145" i="15"/>
  <c r="V145" i="15"/>
  <c r="U145" i="15"/>
  <c r="T145" i="15"/>
  <c r="W144" i="15"/>
  <c r="V144" i="15"/>
  <c r="U144" i="15"/>
  <c r="T144" i="15"/>
  <c r="W143" i="15"/>
  <c r="V143" i="15"/>
  <c r="U143" i="15"/>
  <c r="T143" i="15"/>
  <c r="W142" i="15"/>
  <c r="V142" i="15"/>
  <c r="U142" i="15"/>
  <c r="T142" i="15"/>
  <c r="W141" i="15"/>
  <c r="V141" i="15"/>
  <c r="U141" i="15"/>
  <c r="T141" i="15"/>
  <c r="W140" i="15"/>
  <c r="V140" i="15"/>
  <c r="U140" i="15"/>
  <c r="T140" i="15"/>
  <c r="W139" i="15"/>
  <c r="V139" i="15"/>
  <c r="U139" i="15"/>
  <c r="T139" i="15"/>
  <c r="W138" i="15"/>
  <c r="V138" i="15"/>
  <c r="U138" i="15"/>
  <c r="T138" i="15"/>
  <c r="W137" i="15"/>
  <c r="V137" i="15"/>
  <c r="U137" i="15"/>
  <c r="T137" i="15"/>
  <c r="W136" i="15"/>
  <c r="V136" i="15"/>
  <c r="U136" i="15"/>
  <c r="T136" i="15"/>
  <c r="W135" i="15"/>
  <c r="V135" i="15"/>
  <c r="U135" i="15"/>
  <c r="T135" i="15"/>
  <c r="W134" i="15"/>
  <c r="V134" i="15"/>
  <c r="U134" i="15"/>
  <c r="T134" i="15"/>
  <c r="W133" i="15"/>
  <c r="V133" i="15"/>
  <c r="U133" i="15"/>
  <c r="T133" i="15"/>
  <c r="W132" i="15"/>
  <c r="V132" i="15"/>
  <c r="U132" i="15"/>
  <c r="T132" i="15"/>
  <c r="W131" i="15"/>
  <c r="V131" i="15"/>
  <c r="U131" i="15"/>
  <c r="T131" i="15"/>
  <c r="W130" i="15"/>
  <c r="V130" i="15"/>
  <c r="U130" i="15"/>
  <c r="T130" i="15"/>
  <c r="W129" i="15"/>
  <c r="V129" i="15"/>
  <c r="U129" i="15"/>
  <c r="T129" i="15"/>
  <c r="W128" i="15"/>
  <c r="V128" i="15"/>
  <c r="U128" i="15"/>
  <c r="T128" i="15"/>
  <c r="W127" i="15"/>
  <c r="V127" i="15"/>
  <c r="U127" i="15"/>
  <c r="T127" i="15"/>
  <c r="W126" i="15"/>
  <c r="V126" i="15"/>
  <c r="U126" i="15"/>
  <c r="T126" i="15"/>
  <c r="W125" i="15"/>
  <c r="V125" i="15"/>
  <c r="U125" i="15"/>
  <c r="T125" i="15"/>
  <c r="W124" i="15"/>
  <c r="V124" i="15"/>
  <c r="U124" i="15"/>
  <c r="T124" i="15"/>
  <c r="W123" i="15"/>
  <c r="V123" i="15"/>
  <c r="U123" i="15"/>
  <c r="T123" i="15"/>
  <c r="W122" i="15"/>
  <c r="V122" i="15"/>
  <c r="U122" i="15"/>
  <c r="T122" i="15"/>
  <c r="W121" i="15"/>
  <c r="V121" i="15"/>
  <c r="U121" i="15"/>
  <c r="T121" i="15"/>
  <c r="W120" i="15"/>
  <c r="V120" i="15"/>
  <c r="U120" i="15"/>
  <c r="T120" i="15"/>
  <c r="W119" i="15"/>
  <c r="V119" i="15"/>
  <c r="U119" i="15"/>
  <c r="T119" i="15"/>
  <c r="W118" i="15"/>
  <c r="V118" i="15"/>
  <c r="U118" i="15"/>
  <c r="T118" i="15"/>
  <c r="W117" i="15"/>
  <c r="V117" i="15"/>
  <c r="U117" i="15"/>
  <c r="T117" i="15"/>
  <c r="W116" i="15"/>
  <c r="V116" i="15"/>
  <c r="U116" i="15"/>
  <c r="T116" i="15"/>
  <c r="W115" i="15"/>
  <c r="V115" i="15"/>
  <c r="U115" i="15"/>
  <c r="T115" i="15"/>
  <c r="W114" i="15"/>
  <c r="V114" i="15"/>
  <c r="U114" i="15"/>
  <c r="T114" i="15"/>
  <c r="W113" i="15"/>
  <c r="V113" i="15"/>
  <c r="U113" i="15"/>
  <c r="T113" i="15"/>
  <c r="W112" i="15"/>
  <c r="V112" i="15"/>
  <c r="U112" i="15"/>
  <c r="T112" i="15"/>
  <c r="W111" i="15"/>
  <c r="V111" i="15"/>
  <c r="U111" i="15"/>
  <c r="T111" i="15"/>
  <c r="W110" i="15"/>
  <c r="V110" i="15"/>
  <c r="U110" i="15"/>
  <c r="T110" i="15"/>
  <c r="W109" i="15"/>
  <c r="V109" i="15"/>
  <c r="U109" i="15"/>
  <c r="T109" i="15"/>
  <c r="W108" i="15"/>
  <c r="V108" i="15"/>
  <c r="U108" i="15"/>
  <c r="T108" i="15"/>
  <c r="W107" i="15"/>
  <c r="V107" i="15"/>
  <c r="U107" i="15"/>
  <c r="T107" i="15"/>
  <c r="W106" i="15"/>
  <c r="V106" i="15"/>
  <c r="U106" i="15"/>
  <c r="T106" i="15"/>
  <c r="W105" i="15"/>
  <c r="V105" i="15"/>
  <c r="U105" i="15"/>
  <c r="T105" i="15"/>
  <c r="W104" i="15"/>
  <c r="V104" i="15"/>
  <c r="U104" i="15"/>
  <c r="T104" i="15"/>
  <c r="W103" i="15"/>
  <c r="V103" i="15"/>
  <c r="U103" i="15"/>
  <c r="T103" i="15"/>
  <c r="W102" i="15"/>
  <c r="V102" i="15"/>
  <c r="U102" i="15"/>
  <c r="T102" i="15"/>
  <c r="W101" i="15"/>
  <c r="V101" i="15"/>
  <c r="U101" i="15"/>
  <c r="T101" i="15"/>
  <c r="W100" i="15"/>
  <c r="V100" i="15"/>
  <c r="U100" i="15"/>
  <c r="T100" i="15"/>
  <c r="W99" i="15"/>
  <c r="V99" i="15"/>
  <c r="U99" i="15"/>
  <c r="T99" i="15"/>
  <c r="W98" i="15"/>
  <c r="V98" i="15"/>
  <c r="U98" i="15"/>
  <c r="T98" i="15"/>
  <c r="W97" i="15"/>
  <c r="V97" i="15"/>
  <c r="U97" i="15"/>
  <c r="T97" i="15"/>
  <c r="W96" i="15"/>
  <c r="V96" i="15"/>
  <c r="U96" i="15"/>
  <c r="T96" i="15"/>
  <c r="W95" i="15"/>
  <c r="V95" i="15"/>
  <c r="U95" i="15"/>
  <c r="T95" i="15"/>
  <c r="W94" i="15"/>
  <c r="V94" i="15"/>
  <c r="U94" i="15"/>
  <c r="T94" i="15"/>
  <c r="W93" i="15"/>
  <c r="V93" i="15"/>
  <c r="U93" i="15"/>
  <c r="T93" i="15"/>
  <c r="W92" i="15"/>
  <c r="V92" i="15"/>
  <c r="U92" i="15"/>
  <c r="T92" i="15"/>
  <c r="W91" i="15"/>
  <c r="V91" i="15"/>
  <c r="U91" i="15"/>
  <c r="T91" i="15"/>
  <c r="W90" i="15"/>
  <c r="V90" i="15"/>
  <c r="U90" i="15"/>
  <c r="T90" i="15"/>
  <c r="W89" i="15"/>
  <c r="V89" i="15"/>
  <c r="U89" i="15"/>
  <c r="T89" i="15"/>
  <c r="W88" i="15"/>
  <c r="V88" i="15"/>
  <c r="U88" i="15"/>
  <c r="T88" i="15"/>
  <c r="W87" i="15"/>
  <c r="V87" i="15"/>
  <c r="U87" i="15"/>
  <c r="T87" i="15"/>
  <c r="W86" i="15"/>
  <c r="V86" i="15"/>
  <c r="U86" i="15"/>
  <c r="T86" i="15"/>
  <c r="W85" i="15"/>
  <c r="V85" i="15"/>
  <c r="U85" i="15"/>
  <c r="T85" i="15"/>
  <c r="W84" i="15"/>
  <c r="V84" i="15"/>
  <c r="U84" i="15"/>
  <c r="T84" i="15"/>
  <c r="W83" i="15"/>
  <c r="V83" i="15"/>
  <c r="U83" i="15"/>
  <c r="T83" i="15"/>
  <c r="W82" i="15"/>
  <c r="V82" i="15"/>
  <c r="U82" i="15"/>
  <c r="T82" i="15"/>
  <c r="W81" i="15"/>
  <c r="V81" i="15"/>
  <c r="U81" i="15"/>
  <c r="T81" i="15"/>
  <c r="W80" i="15"/>
  <c r="V80" i="15"/>
  <c r="U80" i="15"/>
  <c r="T80" i="15"/>
  <c r="W79" i="15"/>
  <c r="V79" i="15"/>
  <c r="U79" i="15"/>
  <c r="T79" i="15"/>
  <c r="W78" i="15"/>
  <c r="V78" i="15"/>
  <c r="U78" i="15"/>
  <c r="T78" i="15"/>
  <c r="W77" i="15"/>
  <c r="V77" i="15"/>
  <c r="U77" i="15"/>
  <c r="T77" i="15"/>
  <c r="W76" i="15"/>
  <c r="V76" i="15"/>
  <c r="U76" i="15"/>
  <c r="T76" i="15"/>
  <c r="W75" i="15"/>
  <c r="V75" i="15"/>
  <c r="U75" i="15"/>
  <c r="T75" i="15"/>
  <c r="W74" i="15"/>
  <c r="V74" i="15"/>
  <c r="U74" i="15"/>
  <c r="T74" i="15"/>
  <c r="W73" i="15"/>
  <c r="V73" i="15"/>
  <c r="U73" i="15"/>
  <c r="T73" i="15"/>
  <c r="W72" i="15"/>
  <c r="V72" i="15"/>
  <c r="U72" i="15"/>
  <c r="T72" i="15"/>
  <c r="W71" i="15"/>
  <c r="V71" i="15"/>
  <c r="U71" i="15"/>
  <c r="T71" i="15"/>
  <c r="W70" i="15"/>
  <c r="V70" i="15"/>
  <c r="U70" i="15"/>
  <c r="T70" i="15"/>
  <c r="W69" i="15"/>
  <c r="V69" i="15"/>
  <c r="U69" i="15"/>
  <c r="T69" i="15"/>
  <c r="W68" i="15"/>
  <c r="V68" i="15"/>
  <c r="U68" i="15"/>
  <c r="T68" i="15"/>
  <c r="W67" i="15"/>
  <c r="V67" i="15"/>
  <c r="U67" i="15"/>
  <c r="T67" i="15"/>
  <c r="W66" i="15"/>
  <c r="V66" i="15"/>
  <c r="U66" i="15"/>
  <c r="T66" i="15"/>
  <c r="W65" i="15"/>
  <c r="V65" i="15"/>
  <c r="U65" i="15"/>
  <c r="T65" i="15"/>
  <c r="W64" i="15"/>
  <c r="V64" i="15"/>
  <c r="U64" i="15"/>
  <c r="T64" i="15"/>
  <c r="W63" i="15"/>
  <c r="V63" i="15"/>
  <c r="U63" i="15"/>
  <c r="T63" i="15"/>
  <c r="W62" i="15"/>
  <c r="V62" i="15"/>
  <c r="U62" i="15"/>
  <c r="T62" i="15"/>
  <c r="W61" i="15"/>
  <c r="V61" i="15"/>
  <c r="U61" i="15"/>
  <c r="T61" i="15"/>
  <c r="W60" i="15"/>
  <c r="V60" i="15"/>
  <c r="U60" i="15"/>
  <c r="T60" i="15"/>
  <c r="W59" i="15"/>
  <c r="V59" i="15"/>
  <c r="U59" i="15"/>
  <c r="T59" i="15"/>
  <c r="W58" i="15"/>
  <c r="V58" i="15"/>
  <c r="U58" i="15"/>
  <c r="T58" i="15"/>
  <c r="W57" i="15"/>
  <c r="V57" i="15"/>
  <c r="U57" i="15"/>
  <c r="T57" i="15"/>
  <c r="W56" i="15"/>
  <c r="V56" i="15"/>
  <c r="U56" i="15"/>
  <c r="T56" i="15"/>
  <c r="W55" i="15"/>
  <c r="V55" i="15"/>
  <c r="U55" i="15"/>
  <c r="T55" i="15"/>
  <c r="W54" i="15"/>
  <c r="V54" i="15"/>
  <c r="U54" i="15"/>
  <c r="T54" i="15"/>
  <c r="W53" i="15"/>
  <c r="V53" i="15"/>
  <c r="U53" i="15"/>
  <c r="T53" i="15"/>
  <c r="W52" i="15"/>
  <c r="V52" i="15"/>
  <c r="U52" i="15"/>
  <c r="T52" i="15"/>
  <c r="W51" i="15"/>
  <c r="V51" i="15"/>
  <c r="U51" i="15"/>
  <c r="T51" i="15"/>
  <c r="W50" i="15"/>
  <c r="V50" i="15"/>
  <c r="U50" i="15"/>
  <c r="T50" i="15"/>
  <c r="W49" i="15"/>
  <c r="V49" i="15"/>
  <c r="U49" i="15"/>
  <c r="T49" i="15"/>
  <c r="W48" i="15"/>
  <c r="V48" i="15"/>
  <c r="U48" i="15"/>
  <c r="T48" i="15"/>
  <c r="W47" i="15"/>
  <c r="V47" i="15"/>
  <c r="U47" i="15"/>
  <c r="T47" i="15"/>
  <c r="W46" i="15"/>
  <c r="V46" i="15"/>
  <c r="U46" i="15"/>
  <c r="T46" i="15"/>
  <c r="W45" i="15"/>
  <c r="V45" i="15"/>
  <c r="U45" i="15"/>
  <c r="T45" i="15"/>
  <c r="W44" i="15"/>
  <c r="V44" i="15"/>
  <c r="U44" i="15"/>
  <c r="T44" i="15"/>
  <c r="W43" i="15"/>
  <c r="V43" i="15"/>
  <c r="U43" i="15"/>
  <c r="T43" i="15"/>
  <c r="W42" i="15"/>
  <c r="V42" i="15"/>
  <c r="U42" i="15"/>
  <c r="T42" i="15"/>
  <c r="W41" i="15"/>
  <c r="V41" i="15"/>
  <c r="U41" i="15"/>
  <c r="T41" i="15"/>
  <c r="W40" i="15"/>
  <c r="V40" i="15"/>
  <c r="U40" i="15"/>
  <c r="T40" i="15"/>
  <c r="W39" i="15"/>
  <c r="V39" i="15"/>
  <c r="U39" i="15"/>
  <c r="T39" i="15"/>
  <c r="W38" i="15"/>
  <c r="V38" i="15"/>
  <c r="U38" i="15"/>
  <c r="T38" i="15"/>
  <c r="I38" i="15"/>
  <c r="A38" i="15"/>
  <c r="W37" i="15"/>
  <c r="V37" i="15"/>
  <c r="U37" i="15"/>
  <c r="T37" i="15"/>
  <c r="I37" i="15"/>
  <c r="A37" i="15"/>
  <c r="W36" i="15"/>
  <c r="V36" i="15"/>
  <c r="U36" i="15"/>
  <c r="T36" i="15"/>
  <c r="I36" i="15"/>
  <c r="A36" i="15" s="1"/>
  <c r="W35" i="15"/>
  <c r="V35" i="15"/>
  <c r="U35" i="15"/>
  <c r="T35" i="15"/>
  <c r="I35" i="15"/>
  <c r="A35" i="15" s="1"/>
  <c r="W34" i="15"/>
  <c r="V34" i="15"/>
  <c r="U34" i="15"/>
  <c r="T34" i="15"/>
  <c r="I34" i="15"/>
  <c r="A34" i="15" s="1"/>
  <c r="W33" i="15"/>
  <c r="V33" i="15"/>
  <c r="U33" i="15"/>
  <c r="T33" i="15"/>
  <c r="I33" i="15"/>
  <c r="A33" i="15"/>
  <c r="W32" i="15"/>
  <c r="V32" i="15"/>
  <c r="U32" i="15"/>
  <c r="T32" i="15"/>
  <c r="I32" i="15"/>
  <c r="A32" i="15" s="1"/>
  <c r="W31" i="15"/>
  <c r="V31" i="15"/>
  <c r="U31" i="15"/>
  <c r="T31" i="15"/>
  <c r="I31" i="15"/>
  <c r="A31" i="15"/>
  <c r="W30" i="15"/>
  <c r="V30" i="15"/>
  <c r="U30" i="15"/>
  <c r="T30" i="15"/>
  <c r="I30" i="15"/>
  <c r="A30" i="15"/>
  <c r="W29" i="15"/>
  <c r="V29" i="15"/>
  <c r="U29" i="15"/>
  <c r="T29" i="15"/>
  <c r="I29" i="15"/>
  <c r="A29" i="15" s="1"/>
  <c r="W28" i="15"/>
  <c r="V28" i="15"/>
  <c r="U28" i="15"/>
  <c r="T28" i="15"/>
  <c r="I28" i="15"/>
  <c r="A28" i="15" s="1"/>
  <c r="W27" i="15"/>
  <c r="V27" i="15"/>
  <c r="U27" i="15"/>
  <c r="T27" i="15"/>
  <c r="I27" i="15"/>
  <c r="A27" i="15" s="1"/>
  <c r="W26" i="15"/>
  <c r="V26" i="15"/>
  <c r="U26" i="15"/>
  <c r="T26" i="15"/>
  <c r="I26" i="15"/>
  <c r="A26" i="15" s="1"/>
  <c r="W25" i="15"/>
  <c r="V25" i="15"/>
  <c r="U25" i="15"/>
  <c r="T25" i="15"/>
  <c r="I25" i="15"/>
  <c r="A25" i="15" s="1"/>
  <c r="W24" i="15"/>
  <c r="V24" i="15"/>
  <c r="U24" i="15"/>
  <c r="T24" i="15"/>
  <c r="I24" i="15"/>
  <c r="A24" i="15"/>
  <c r="W23" i="15"/>
  <c r="V23" i="15"/>
  <c r="U23" i="15"/>
  <c r="T23" i="15"/>
  <c r="I23" i="15"/>
  <c r="A23" i="15" s="1"/>
  <c r="W22" i="15"/>
  <c r="V22" i="15"/>
  <c r="U22" i="15"/>
  <c r="T22" i="15"/>
  <c r="I22" i="15"/>
  <c r="A22" i="15"/>
  <c r="W21" i="15"/>
  <c r="V21" i="15"/>
  <c r="U21" i="15"/>
  <c r="T21" i="15"/>
  <c r="I21" i="15"/>
  <c r="A21" i="15" s="1"/>
  <c r="W20" i="15"/>
  <c r="V20" i="15"/>
  <c r="U20" i="15"/>
  <c r="T20" i="15"/>
  <c r="I20" i="15"/>
  <c r="A20" i="15" s="1"/>
  <c r="W19" i="15"/>
  <c r="V19" i="15"/>
  <c r="U19" i="15"/>
  <c r="T19" i="15"/>
  <c r="I19" i="15"/>
  <c r="A19" i="15" s="1"/>
  <c r="W18" i="15"/>
  <c r="V18" i="15"/>
  <c r="U18" i="15"/>
  <c r="T18" i="15"/>
  <c r="I18" i="15"/>
  <c r="A18" i="15"/>
  <c r="W17" i="15"/>
  <c r="V17" i="15"/>
  <c r="U17" i="15"/>
  <c r="T17" i="15"/>
  <c r="I17" i="15"/>
  <c r="A17" i="15" s="1"/>
  <c r="AB16" i="15"/>
  <c r="W16" i="15"/>
  <c r="V16" i="15"/>
  <c r="U16" i="15"/>
  <c r="T16" i="15"/>
  <c r="I16" i="15"/>
  <c r="A16" i="15" s="1"/>
  <c r="AB15" i="15"/>
  <c r="W15" i="15"/>
  <c r="V15" i="15"/>
  <c r="U15" i="15"/>
  <c r="T15" i="15"/>
  <c r="I15" i="15"/>
  <c r="A15" i="15"/>
  <c r="AF14" i="15"/>
  <c r="AE14" i="15"/>
  <c r="AD14" i="15"/>
  <c r="AB14" i="15"/>
  <c r="W14" i="15"/>
  <c r="V14" i="15"/>
  <c r="U14" i="15"/>
  <c r="T14" i="15"/>
  <c r="I14" i="15"/>
  <c r="A14" i="15" s="1"/>
  <c r="AF13" i="15"/>
  <c r="AE13" i="15"/>
  <c r="AD13" i="15"/>
  <c r="AB13" i="15"/>
  <c r="W13" i="15"/>
  <c r="V13" i="15"/>
  <c r="U13" i="15"/>
  <c r="T13" i="15"/>
  <c r="I13" i="15"/>
  <c r="A13" i="15"/>
  <c r="AF12" i="15"/>
  <c r="AE12" i="15"/>
  <c r="AD12" i="15"/>
  <c r="AB12" i="15"/>
  <c r="W12" i="15"/>
  <c r="V12" i="15"/>
  <c r="U12" i="15"/>
  <c r="T12" i="15"/>
  <c r="I12" i="15"/>
  <c r="A12" i="15" s="1"/>
  <c r="AF11" i="15"/>
  <c r="AE11" i="15"/>
  <c r="AD11" i="15"/>
  <c r="AB11" i="15"/>
  <c r="W11" i="15"/>
  <c r="V11" i="15"/>
  <c r="U11" i="15"/>
  <c r="T11" i="15"/>
  <c r="I11" i="15"/>
  <c r="A11" i="15" s="1"/>
  <c r="AF10" i="15"/>
  <c r="AE10" i="15"/>
  <c r="AD10" i="15"/>
  <c r="AB10" i="15"/>
  <c r="W10" i="15"/>
  <c r="V10" i="15"/>
  <c r="U10" i="15"/>
  <c r="T10" i="15"/>
  <c r="I10" i="15"/>
  <c r="A10" i="15"/>
  <c r="AF9" i="15"/>
  <c r="AE9" i="15"/>
  <c r="AD9" i="15"/>
  <c r="AB9" i="15"/>
  <c r="W9" i="15"/>
  <c r="V9" i="15"/>
  <c r="U9" i="15"/>
  <c r="T9" i="15"/>
  <c r="I9" i="15"/>
  <c r="A9" i="15" s="1"/>
  <c r="AF8" i="15"/>
  <c r="AE8" i="15"/>
  <c r="AD8" i="15"/>
  <c r="AB8" i="15"/>
  <c r="W8" i="15"/>
  <c r="V8" i="15"/>
  <c r="U8" i="15"/>
  <c r="T8" i="15"/>
  <c r="I8" i="15"/>
  <c r="A8" i="15" s="1"/>
  <c r="AF7" i="15"/>
  <c r="AE7" i="15"/>
  <c r="AD7" i="15"/>
  <c r="AB7" i="15"/>
  <c r="W7" i="15"/>
  <c r="V7" i="15"/>
  <c r="U7" i="15"/>
  <c r="T7" i="15"/>
  <c r="I7" i="15"/>
  <c r="A7" i="15" s="1"/>
  <c r="AF6" i="15"/>
  <c r="AE6" i="15"/>
  <c r="AD6" i="15"/>
  <c r="AB6" i="15"/>
  <c r="W6" i="15"/>
  <c r="V6" i="15"/>
  <c r="U6" i="15"/>
  <c r="T6" i="15"/>
  <c r="I6" i="15"/>
  <c r="A6" i="15"/>
  <c r="AF5" i="15"/>
  <c r="AE5" i="15"/>
  <c r="AD5" i="15"/>
  <c r="AB5" i="15"/>
  <c r="W5" i="15"/>
  <c r="V5" i="15"/>
  <c r="U5" i="15"/>
  <c r="T5" i="15"/>
  <c r="I5" i="15"/>
  <c r="A5" i="15" s="1"/>
  <c r="AF4" i="15"/>
  <c r="AE4" i="15"/>
  <c r="AD4" i="15"/>
  <c r="AB4" i="15"/>
  <c r="W4" i="15"/>
  <c r="V4" i="15"/>
  <c r="U4" i="15"/>
  <c r="T4" i="15"/>
  <c r="I4" i="15"/>
  <c r="A4" i="15" s="1"/>
  <c r="AF3" i="15"/>
  <c r="AE3" i="15"/>
  <c r="AD3" i="15"/>
  <c r="AB3" i="15"/>
  <c r="W3" i="15"/>
  <c r="V3" i="15"/>
  <c r="Y95" i="16" s="1"/>
  <c r="U3" i="15"/>
  <c r="T3" i="15"/>
  <c r="I3" i="15"/>
  <c r="A3" i="15"/>
  <c r="P10" i="14"/>
  <c r="Q10" i="16" s="1"/>
  <c r="N6" i="14"/>
  <c r="M6" i="14"/>
  <c r="L6" i="14"/>
  <c r="P5" i="14"/>
  <c r="P3" i="14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J109" i="13"/>
  <c r="V107" i="13"/>
  <c r="S107" i="13"/>
  <c r="V106" i="13"/>
  <c r="S106" i="13"/>
  <c r="V105" i="13"/>
  <c r="S105" i="13"/>
  <c r="V104" i="13"/>
  <c r="S104" i="13"/>
  <c r="V103" i="13"/>
  <c r="S103" i="13"/>
  <c r="V102" i="13"/>
  <c r="S102" i="13"/>
  <c r="V101" i="13"/>
  <c r="S101" i="13"/>
  <c r="V100" i="13"/>
  <c r="S100" i="13"/>
  <c r="V99" i="13"/>
  <c r="S99" i="13"/>
  <c r="V98" i="13"/>
  <c r="S98" i="13"/>
  <c r="V97" i="13"/>
  <c r="S97" i="13"/>
  <c r="V96" i="13"/>
  <c r="S96" i="13"/>
  <c r="V95" i="13"/>
  <c r="S95" i="13"/>
  <c r="V94" i="13"/>
  <c r="S94" i="13"/>
  <c r="V93" i="13"/>
  <c r="S93" i="13"/>
  <c r="V92" i="13"/>
  <c r="S92" i="13"/>
  <c r="V91" i="13"/>
  <c r="S91" i="13"/>
  <c r="V90" i="13"/>
  <c r="S90" i="13"/>
  <c r="V89" i="13"/>
  <c r="S89" i="13"/>
  <c r="V88" i="13"/>
  <c r="S88" i="13"/>
  <c r="V87" i="13"/>
  <c r="S87" i="13"/>
  <c r="V86" i="13"/>
  <c r="S86" i="13"/>
  <c r="V85" i="13"/>
  <c r="S85" i="13"/>
  <c r="V84" i="13"/>
  <c r="S84" i="13"/>
  <c r="V83" i="13"/>
  <c r="S83" i="13"/>
  <c r="V82" i="13"/>
  <c r="S82" i="13"/>
  <c r="V81" i="13"/>
  <c r="S81" i="13"/>
  <c r="V80" i="13"/>
  <c r="S80" i="13"/>
  <c r="V79" i="13"/>
  <c r="S79" i="13"/>
  <c r="V78" i="13"/>
  <c r="S78" i="13"/>
  <c r="V77" i="13"/>
  <c r="S77" i="13"/>
  <c r="V76" i="13"/>
  <c r="S76" i="13"/>
  <c r="V75" i="13"/>
  <c r="S75" i="13"/>
  <c r="V74" i="13"/>
  <c r="S74" i="13"/>
  <c r="D74" i="13"/>
  <c r="V73" i="13"/>
  <c r="S73" i="13"/>
  <c r="D73" i="13"/>
  <c r="V72" i="13"/>
  <c r="S72" i="13"/>
  <c r="D72" i="13"/>
  <c r="V71" i="13"/>
  <c r="S71" i="13"/>
  <c r="D71" i="13"/>
  <c r="V70" i="13"/>
  <c r="S70" i="13"/>
  <c r="D70" i="13"/>
  <c r="V69" i="13"/>
  <c r="S69" i="13"/>
  <c r="D69" i="13"/>
  <c r="V68" i="13"/>
  <c r="S68" i="13"/>
  <c r="D68" i="13"/>
  <c r="V67" i="13"/>
  <c r="S67" i="13"/>
  <c r="D67" i="13"/>
  <c r="V66" i="13"/>
  <c r="S66" i="13"/>
  <c r="D66" i="13"/>
  <c r="V65" i="13"/>
  <c r="S65" i="13"/>
  <c r="V64" i="13"/>
  <c r="S64" i="13"/>
  <c r="V63" i="13"/>
  <c r="S63" i="13"/>
  <c r="V62" i="13"/>
  <c r="S62" i="13"/>
  <c r="V61" i="13"/>
  <c r="S61" i="13"/>
  <c r="V60" i="13"/>
  <c r="S60" i="13"/>
  <c r="V59" i="13"/>
  <c r="S59" i="13"/>
  <c r="V58" i="13"/>
  <c r="S58" i="13"/>
  <c r="V57" i="13"/>
  <c r="S57" i="13"/>
  <c r="V56" i="13"/>
  <c r="S56" i="13"/>
  <c r="V55" i="13"/>
  <c r="S55" i="13"/>
  <c r="V54" i="13"/>
  <c r="S54" i="13"/>
  <c r="V53" i="13"/>
  <c r="S53" i="13"/>
  <c r="D53" i="13"/>
  <c r="V52" i="13"/>
  <c r="S52" i="13"/>
  <c r="D52" i="13"/>
  <c r="V51" i="13"/>
  <c r="S51" i="13"/>
  <c r="V50" i="13"/>
  <c r="S50" i="13"/>
  <c r="V49" i="13"/>
  <c r="S49" i="13"/>
  <c r="V48" i="13"/>
  <c r="S48" i="13"/>
  <c r="V47" i="13"/>
  <c r="S47" i="13"/>
  <c r="V46" i="13"/>
  <c r="S46" i="13"/>
  <c r="V45" i="13"/>
  <c r="S45" i="13"/>
  <c r="V44" i="13"/>
  <c r="S44" i="13"/>
  <c r="V43" i="13"/>
  <c r="S43" i="13"/>
  <c r="V42" i="13"/>
  <c r="S42" i="13"/>
  <c r="V41" i="13"/>
  <c r="S41" i="13"/>
  <c r="V40" i="13"/>
  <c r="S40" i="13"/>
  <c r="V39" i="13"/>
  <c r="S39" i="13"/>
  <c r="V38" i="13"/>
  <c r="S38" i="13"/>
  <c r="V37" i="13"/>
  <c r="S37" i="13"/>
  <c r="V36" i="13"/>
  <c r="S36" i="13"/>
  <c r="V35" i="13"/>
  <c r="S35" i="13"/>
  <c r="V34" i="13"/>
  <c r="S34" i="13"/>
  <c r="V33" i="13"/>
  <c r="S33" i="13"/>
  <c r="V32" i="13"/>
  <c r="S32" i="13"/>
  <c r="V31" i="13"/>
  <c r="S31" i="13"/>
  <c r="V30" i="13"/>
  <c r="S30" i="13"/>
  <c r="V29" i="13"/>
  <c r="S29" i="13"/>
  <c r="V28" i="13"/>
  <c r="S28" i="13"/>
  <c r="V27" i="13"/>
  <c r="S27" i="13"/>
  <c r="V26" i="13"/>
  <c r="S26" i="13"/>
  <c r="V25" i="13"/>
  <c r="S25" i="13"/>
  <c r="V24" i="13"/>
  <c r="S24" i="13"/>
  <c r="V23" i="13"/>
  <c r="S23" i="13"/>
  <c r="V22" i="13"/>
  <c r="S22" i="13"/>
  <c r="V21" i="13"/>
  <c r="S21" i="13"/>
  <c r="V20" i="13"/>
  <c r="S20" i="13"/>
  <c r="V19" i="13"/>
  <c r="S19" i="13"/>
  <c r="V18" i="13"/>
  <c r="S18" i="13"/>
  <c r="V17" i="13"/>
  <c r="S17" i="13"/>
  <c r="C28" i="13"/>
  <c r="B17" i="13" a="1"/>
  <c r="C27" i="13" s="1"/>
  <c r="B17" i="13"/>
  <c r="V16" i="13"/>
  <c r="S16" i="13"/>
  <c r="V15" i="13"/>
  <c r="S15" i="13"/>
  <c r="V14" i="13"/>
  <c r="S14" i="13"/>
  <c r="A14" i="13"/>
  <c r="V13" i="13"/>
  <c r="M284" i="13" s="1"/>
  <c r="S13" i="13"/>
  <c r="A13" i="13"/>
  <c r="V12" i="13"/>
  <c r="S12" i="13"/>
  <c r="A12" i="13"/>
  <c r="V11" i="13"/>
  <c r="S11" i="13"/>
  <c r="A11" i="13"/>
  <c r="V10" i="13"/>
  <c r="S10" i="13"/>
  <c r="A10" i="13"/>
  <c r="V9" i="13"/>
  <c r="S9" i="13"/>
  <c r="A9" i="13"/>
  <c r="V8" i="13"/>
  <c r="S8" i="13"/>
  <c r="A8" i="13"/>
  <c r="W7" i="13"/>
  <c r="V7" i="13"/>
  <c r="S7" i="13"/>
  <c r="A7" i="13"/>
  <c r="W6" i="13"/>
  <c r="V6" i="13"/>
  <c r="S6" i="13"/>
  <c r="A6" i="13"/>
  <c r="W5" i="13"/>
  <c r="V5" i="13"/>
  <c r="S5" i="13"/>
  <c r="A5" i="13"/>
  <c r="W4" i="13"/>
  <c r="V4" i="13"/>
  <c r="S4" i="13"/>
  <c r="A4" i="13"/>
  <c r="Z3" i="13" a="1"/>
  <c r="Z11" i="13" s="1"/>
  <c r="W3" i="13"/>
  <c r="V3" i="13"/>
  <c r="M297" i="13" s="1"/>
  <c r="S3" i="13"/>
  <c r="A3" i="13"/>
  <c r="B6" i="12"/>
  <c r="A4" i="11"/>
  <c r="A3" i="11"/>
  <c r="A2" i="11"/>
  <c r="K45" i="10"/>
  <c r="J45" i="10"/>
  <c r="I45" i="10"/>
  <c r="H45" i="10"/>
  <c r="G45" i="10"/>
  <c r="F45" i="10"/>
  <c r="E45" i="10"/>
  <c r="D45" i="10"/>
  <c r="K44" i="10"/>
  <c r="J44" i="10"/>
  <c r="I44" i="10"/>
  <c r="H44" i="10"/>
  <c r="G44" i="10"/>
  <c r="F44" i="10"/>
  <c r="E44" i="10"/>
  <c r="D44" i="10"/>
  <c r="K43" i="10"/>
  <c r="J43" i="10"/>
  <c r="I43" i="10"/>
  <c r="H43" i="10"/>
  <c r="G43" i="10"/>
  <c r="F43" i="10"/>
  <c r="E43" i="10"/>
  <c r="D43" i="10"/>
  <c r="E28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V51" i="10" s="1"/>
  <c r="A10" i="10"/>
  <c r="A9" i="10"/>
  <c r="A8" i="10"/>
  <c r="A7" i="10"/>
  <c r="A6" i="10"/>
  <c r="A5" i="10"/>
  <c r="A4" i="10"/>
  <c r="V57" i="10" s="1"/>
  <c r="D13" i="8"/>
  <c r="D12" i="8"/>
  <c r="D11" i="8"/>
  <c r="D10" i="8"/>
  <c r="D7" i="8"/>
  <c r="D39" i="7"/>
  <c r="C39" i="7"/>
  <c r="D22" i="7"/>
  <c r="C22" i="7"/>
  <c r="D21" i="7"/>
  <c r="C21" i="7"/>
  <c r="D19" i="7"/>
  <c r="C19" i="7"/>
  <c r="C23" i="7" s="1"/>
  <c r="E10" i="7" s="1"/>
  <c r="I11" i="7"/>
  <c r="F11" i="7"/>
  <c r="I10" i="7"/>
  <c r="I9" i="7"/>
  <c r="G9" i="7"/>
  <c r="E9" i="7"/>
  <c r="L8" i="7"/>
  <c r="I8" i="7"/>
  <c r="L7" i="7"/>
  <c r="I7" i="7"/>
  <c r="L6" i="7"/>
  <c r="I6" i="7"/>
  <c r="L5" i="7"/>
  <c r="I5" i="7"/>
  <c r="L4" i="7"/>
  <c r="I4" i="7"/>
  <c r="L3" i="7"/>
  <c r="I3" i="7"/>
  <c r="E56" i="5"/>
  <c r="F56" i="5" s="1"/>
  <c r="G56" i="5" s="1"/>
  <c r="H56" i="5" s="1"/>
  <c r="I56" i="5" s="1"/>
  <c r="J56" i="5" s="1"/>
  <c r="K56" i="5" s="1"/>
  <c r="L56" i="5" s="1"/>
  <c r="M56" i="5" s="1"/>
  <c r="N56" i="5" s="1"/>
  <c r="O56" i="5" s="1"/>
  <c r="P56" i="5" s="1"/>
  <c r="Q56" i="5" s="1"/>
  <c r="R56" i="5" s="1"/>
  <c r="S56" i="5" s="1"/>
  <c r="T56" i="5" s="1"/>
  <c r="U56" i="5" s="1"/>
  <c r="V56" i="5" s="1"/>
  <c r="W56" i="5" s="1"/>
  <c r="X56" i="5" s="1"/>
  <c r="Y56" i="5" s="1"/>
  <c r="Z56" i="5" s="1"/>
  <c r="AA56" i="5" s="1"/>
  <c r="AB56" i="5" s="1"/>
  <c r="AC56" i="5" s="1"/>
  <c r="AD56" i="5" s="1"/>
  <c r="AE56" i="5" s="1"/>
  <c r="AF56" i="5" s="1"/>
  <c r="AG56" i="5" s="1"/>
  <c r="AH56" i="5" s="1"/>
  <c r="E52" i="5"/>
  <c r="F52" i="5" s="1"/>
  <c r="G52" i="5" s="1"/>
  <c r="H52" i="5" s="1"/>
  <c r="I52" i="5" s="1"/>
  <c r="J52" i="5" s="1"/>
  <c r="K52" i="5" s="1"/>
  <c r="L52" i="5" s="1"/>
  <c r="M52" i="5" s="1"/>
  <c r="N52" i="5" s="1"/>
  <c r="O52" i="5" s="1"/>
  <c r="P52" i="5" s="1"/>
  <c r="Q52" i="5" s="1"/>
  <c r="R52" i="5" s="1"/>
  <c r="S52" i="5" s="1"/>
  <c r="T52" i="5" s="1"/>
  <c r="U52" i="5" s="1"/>
  <c r="V52" i="5" s="1"/>
  <c r="W52" i="5" s="1"/>
  <c r="X52" i="5" s="1"/>
  <c r="Y52" i="5" s="1"/>
  <c r="Z52" i="5" s="1"/>
  <c r="AA52" i="5" s="1"/>
  <c r="AB52" i="5" s="1"/>
  <c r="AC52" i="5" s="1"/>
  <c r="AD52" i="5" s="1"/>
  <c r="AE52" i="5" s="1"/>
  <c r="AF52" i="5" s="1"/>
  <c r="AG52" i="5" s="1"/>
  <c r="AH52" i="5" s="1"/>
  <c r="E51" i="5"/>
  <c r="I33" i="5"/>
  <c r="H33" i="5"/>
  <c r="H35" i="5" s="1"/>
  <c r="G33" i="5"/>
  <c r="G35" i="5" s="1"/>
  <c r="F33" i="5"/>
  <c r="F35" i="5" s="1"/>
  <c r="E33" i="5"/>
  <c r="D33" i="5"/>
  <c r="C33" i="5"/>
  <c r="I32" i="5"/>
  <c r="H32" i="5"/>
  <c r="H34" i="5" s="1"/>
  <c r="G32" i="5"/>
  <c r="G34" i="5" s="1"/>
  <c r="F32" i="5"/>
  <c r="F34" i="5" s="1"/>
  <c r="E32" i="5"/>
  <c r="D32" i="5"/>
  <c r="C32" i="5"/>
  <c r="I29" i="5"/>
  <c r="E29" i="5"/>
  <c r="D29" i="5"/>
  <c r="C29" i="5"/>
  <c r="C12" i="5"/>
  <c r="I31" i="5" s="1"/>
  <c r="C11" i="5"/>
  <c r="D11" i="5" s="1"/>
  <c r="AE6" i="5"/>
  <c r="AD6" i="5"/>
  <c r="X6" i="5"/>
  <c r="W6" i="5"/>
  <c r="O6" i="5"/>
  <c r="G6" i="5"/>
  <c r="AH5" i="5"/>
  <c r="AH6" i="5" s="1"/>
  <c r="AG5" i="5"/>
  <c r="AF5" i="5"/>
  <c r="AF6" i="5" s="1"/>
  <c r="AE5" i="5"/>
  <c r="AD5" i="5"/>
  <c r="AC5" i="5"/>
  <c r="AB5" i="5"/>
  <c r="AA5" i="5"/>
  <c r="Z5" i="5"/>
  <c r="Z6" i="5" s="1"/>
  <c r="Y5" i="5"/>
  <c r="X5" i="5"/>
  <c r="W5" i="5"/>
  <c r="V5" i="5"/>
  <c r="V6" i="5" s="1"/>
  <c r="U5" i="5"/>
  <c r="T5" i="5"/>
  <c r="S5" i="5"/>
  <c r="R5" i="5"/>
  <c r="R6" i="5" s="1"/>
  <c r="Q5" i="5"/>
  <c r="P5" i="5"/>
  <c r="P6" i="5" s="1"/>
  <c r="O5" i="5"/>
  <c r="N5" i="5"/>
  <c r="M5" i="5"/>
  <c r="L5" i="5"/>
  <c r="K5" i="5"/>
  <c r="J5" i="5"/>
  <c r="J6" i="5" s="1"/>
  <c r="I5" i="5"/>
  <c r="H5" i="5"/>
  <c r="H6" i="5" s="1"/>
  <c r="G5" i="5"/>
  <c r="F5" i="5"/>
  <c r="E5" i="5"/>
  <c r="F6" i="5" s="1"/>
  <c r="D5" i="5"/>
  <c r="C137" i="4"/>
  <c r="C136" i="4"/>
  <c r="C135" i="4"/>
  <c r="C134" i="4"/>
  <c r="C133" i="4"/>
  <c r="C132" i="4"/>
  <c r="C128" i="4"/>
  <c r="C127" i="4"/>
  <c r="C126" i="4"/>
  <c r="AG125" i="4"/>
  <c r="AF125" i="4"/>
  <c r="AE125" i="4"/>
  <c r="X125" i="4"/>
  <c r="W125" i="4"/>
  <c r="U125" i="4"/>
  <c r="Q125" i="4"/>
  <c r="P125" i="4"/>
  <c r="O125" i="4"/>
  <c r="H125" i="4"/>
  <c r="G125" i="4"/>
  <c r="C125" i="4"/>
  <c r="C124" i="4"/>
  <c r="C122" i="4"/>
  <c r="C121" i="4"/>
  <c r="C120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AH105" i="4"/>
  <c r="AG105" i="4"/>
  <c r="AF105" i="4"/>
  <c r="AE105" i="4"/>
  <c r="AD105" i="4"/>
  <c r="AD125" i="4" s="1"/>
  <c r="AC105" i="4"/>
  <c r="AC125" i="4" s="1"/>
  <c r="AB105" i="4"/>
  <c r="AA105" i="4"/>
  <c r="Z105" i="4"/>
  <c r="Y105" i="4"/>
  <c r="Y125" i="4" s="1"/>
  <c r="X105" i="4"/>
  <c r="W105" i="4"/>
  <c r="V105" i="4"/>
  <c r="V125" i="4" s="1"/>
  <c r="U105" i="4"/>
  <c r="T105" i="4"/>
  <c r="S105" i="4"/>
  <c r="S125" i="4" s="1"/>
  <c r="R105" i="4"/>
  <c r="Q105" i="4"/>
  <c r="P105" i="4"/>
  <c r="O105" i="4"/>
  <c r="N105" i="4"/>
  <c r="N125" i="4" s="1"/>
  <c r="M105" i="4"/>
  <c r="M125" i="4" s="1"/>
  <c r="L105" i="4"/>
  <c r="K105" i="4"/>
  <c r="J105" i="4"/>
  <c r="I105" i="4"/>
  <c r="I125" i="4" s="1"/>
  <c r="H105" i="4"/>
  <c r="G105" i="4"/>
  <c r="F105" i="4"/>
  <c r="F125" i="4" s="1"/>
  <c r="E105" i="4"/>
  <c r="E125" i="4" s="1"/>
  <c r="D105" i="4"/>
  <c r="E101" i="4"/>
  <c r="E123" i="4" s="1"/>
  <c r="D101" i="4"/>
  <c r="D123" i="4" s="1"/>
  <c r="D93" i="4"/>
  <c r="E93" i="4" s="1"/>
  <c r="F93" i="4" s="1"/>
  <c r="G93" i="4" s="1"/>
  <c r="H93" i="4" s="1"/>
  <c r="I93" i="4" s="1"/>
  <c r="J93" i="4" s="1"/>
  <c r="K93" i="4" s="1"/>
  <c r="L93" i="4" s="1"/>
  <c r="M93" i="4" s="1"/>
  <c r="N93" i="4" s="1"/>
  <c r="O93" i="4" s="1"/>
  <c r="P93" i="4" s="1"/>
  <c r="Q93" i="4" s="1"/>
  <c r="R93" i="4" s="1"/>
  <c r="S93" i="4" s="1"/>
  <c r="T93" i="4" s="1"/>
  <c r="U93" i="4" s="1"/>
  <c r="V93" i="4" s="1"/>
  <c r="W93" i="4" s="1"/>
  <c r="X93" i="4" s="1"/>
  <c r="Y93" i="4" s="1"/>
  <c r="Z93" i="4" s="1"/>
  <c r="AA93" i="4" s="1"/>
  <c r="AB93" i="4" s="1"/>
  <c r="AC93" i="4" s="1"/>
  <c r="AD93" i="4" s="1"/>
  <c r="AE93" i="4" s="1"/>
  <c r="AF93" i="4" s="1"/>
  <c r="AG93" i="4" s="1"/>
  <c r="AH93" i="4" s="1"/>
  <c r="D92" i="4"/>
  <c r="AH90" i="4"/>
  <c r="D87" i="4"/>
  <c r="AH86" i="4"/>
  <c r="D85" i="4"/>
  <c r="D78" i="4"/>
  <c r="D77" i="4"/>
  <c r="E77" i="4" s="1"/>
  <c r="F77" i="4" s="1"/>
  <c r="G77" i="4" s="1"/>
  <c r="H77" i="4" s="1"/>
  <c r="I77" i="4" s="1"/>
  <c r="J77" i="4" s="1"/>
  <c r="K77" i="4" s="1"/>
  <c r="L77" i="4" s="1"/>
  <c r="M77" i="4" s="1"/>
  <c r="N77" i="4" s="1"/>
  <c r="O77" i="4" s="1"/>
  <c r="P77" i="4" s="1"/>
  <c r="Q77" i="4" s="1"/>
  <c r="R77" i="4" s="1"/>
  <c r="S77" i="4" s="1"/>
  <c r="T77" i="4" s="1"/>
  <c r="U77" i="4" s="1"/>
  <c r="V77" i="4" s="1"/>
  <c r="W77" i="4" s="1"/>
  <c r="X77" i="4" s="1"/>
  <c r="Y77" i="4" s="1"/>
  <c r="Z77" i="4" s="1"/>
  <c r="AA77" i="4" s="1"/>
  <c r="AB77" i="4" s="1"/>
  <c r="AC77" i="4" s="1"/>
  <c r="AD77" i="4" s="1"/>
  <c r="AE77" i="4" s="1"/>
  <c r="AF77" i="4" s="1"/>
  <c r="AG77" i="4" s="1"/>
  <c r="AH77" i="4" s="1"/>
  <c r="D72" i="4"/>
  <c r="D63" i="4"/>
  <c r="E63" i="4" s="1"/>
  <c r="F63" i="4" s="1"/>
  <c r="G63" i="4" s="1"/>
  <c r="H63" i="4" s="1"/>
  <c r="D62" i="4"/>
  <c r="E62" i="4" s="1"/>
  <c r="D57" i="4"/>
  <c r="D102" i="4" s="1"/>
  <c r="G56" i="4"/>
  <c r="G101" i="4" s="1"/>
  <c r="G123" i="4" s="1"/>
  <c r="E56" i="4"/>
  <c r="F56" i="4" s="1"/>
  <c r="F101" i="4" s="1"/>
  <c r="F123" i="4" s="1"/>
  <c r="D55" i="4"/>
  <c r="E55" i="4" s="1"/>
  <c r="F55" i="4" s="1"/>
  <c r="G55" i="4" s="1"/>
  <c r="H55" i="4" s="1"/>
  <c r="D51" i="4"/>
  <c r="D43" i="4"/>
  <c r="D33" i="4"/>
  <c r="D32" i="4"/>
  <c r="D31" i="4"/>
  <c r="D30" i="4"/>
  <c r="D29" i="4"/>
  <c r="D28" i="4"/>
  <c r="D79" i="4" s="1"/>
  <c r="D24" i="4"/>
  <c r="D69" i="4" s="1"/>
  <c r="D23" i="4"/>
  <c r="D68" i="4" s="1"/>
  <c r="D22" i="4"/>
  <c r="D67" i="4" s="1"/>
  <c r="D21" i="4"/>
  <c r="D66" i="4" s="1"/>
  <c r="D20" i="4"/>
  <c r="U48" i="14" s="1"/>
  <c r="D19" i="4"/>
  <c r="T50" i="14" s="1"/>
  <c r="D15" i="4"/>
  <c r="D14" i="4"/>
  <c r="D13" i="4"/>
  <c r="D52" i="4" s="1"/>
  <c r="D12" i="4"/>
  <c r="U11" i="16" s="1"/>
  <c r="D11" i="4"/>
  <c r="U22" i="14" s="1"/>
  <c r="D10" i="4"/>
  <c r="T10" i="14" s="1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AG27" i="3" s="1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AG25" i="3" s="1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AF22" i="3"/>
  <c r="AG22" i="3" s="1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AG18" i="3"/>
  <c r="AG17" i="3"/>
  <c r="AG16" i="3"/>
  <c r="AG15" i="3"/>
  <c r="AG14" i="3"/>
  <c r="AG13" i="3"/>
  <c r="AG12" i="3"/>
  <c r="AG11" i="3"/>
  <c r="AG10" i="3"/>
  <c r="AG9" i="3"/>
  <c r="AG8" i="3"/>
  <c r="AG7" i="3"/>
  <c r="AG6" i="3"/>
  <c r="AG5" i="3"/>
  <c r="AG4" i="3"/>
  <c r="AG18" i="2"/>
  <c r="D18" i="2"/>
  <c r="AG17" i="2"/>
  <c r="D17" i="2"/>
  <c r="AG16" i="2"/>
  <c r="D16" i="2"/>
  <c r="E16" i="2" s="1"/>
  <c r="D70" i="3" s="1"/>
  <c r="G61" i="7"/>
  <c r="F45" i="7"/>
  <c r="D61" i="7"/>
  <c r="C53" i="7"/>
  <c r="E52" i="7"/>
  <c r="D67" i="7"/>
  <c r="I51" i="7"/>
  <c r="C55" i="7"/>
  <c r="E64" i="7"/>
  <c r="I59" i="7"/>
  <c r="H51" i="7"/>
  <c r="C52" i="7"/>
  <c r="C56" i="7"/>
  <c r="C48" i="7"/>
  <c r="I66" i="7"/>
  <c r="D57" i="7"/>
  <c r="C60" i="7"/>
  <c r="G47" i="7"/>
  <c r="F58" i="7"/>
  <c r="G60" i="7"/>
  <c r="G44" i="7"/>
  <c r="G51" i="7"/>
  <c r="H52" i="7"/>
  <c r="H44" i="7"/>
  <c r="G53" i="7"/>
  <c r="G64" i="7"/>
  <c r="H55" i="7"/>
  <c r="E48" i="7"/>
  <c r="I48" i="7"/>
  <c r="G58" i="7"/>
  <c r="E47" i="7"/>
  <c r="D45" i="7"/>
  <c r="C61" i="7"/>
  <c r="I57" i="7"/>
  <c r="G67" i="7"/>
  <c r="G62" i="7"/>
  <c r="D66" i="7"/>
  <c r="G46" i="7"/>
  <c r="D63" i="7"/>
  <c r="D55" i="7"/>
  <c r="F44" i="7"/>
  <c r="F61" i="7"/>
  <c r="C54" i="7"/>
  <c r="D52" i="7"/>
  <c r="I56" i="7"/>
  <c r="I47" i="7"/>
  <c r="H63" i="7"/>
  <c r="E45" i="7"/>
  <c r="G50" i="7"/>
  <c r="I50" i="7"/>
  <c r="H60" i="7"/>
  <c r="C66" i="7"/>
  <c r="F65" i="7"/>
  <c r="I45" i="7"/>
  <c r="F50" i="7"/>
  <c r="I64" i="7"/>
  <c r="D44" i="7"/>
  <c r="E54" i="7"/>
  <c r="G66" i="7"/>
  <c r="F54" i="7"/>
  <c r="F56" i="7"/>
  <c r="C57" i="7"/>
  <c r="C62" i="7"/>
  <c r="E65" i="7"/>
  <c r="F64" i="7"/>
  <c r="I53" i="7"/>
  <c r="D49" i="7"/>
  <c r="C65" i="7"/>
  <c r="E61" i="7"/>
  <c r="H46" i="7"/>
  <c r="H45" i="7"/>
  <c r="G52" i="7"/>
  <c r="D47" i="7"/>
  <c r="G48" i="7"/>
  <c r="C64" i="7"/>
  <c r="G59" i="7"/>
  <c r="C44" i="7"/>
  <c r="I60" i="7"/>
  <c r="E55" i="7"/>
  <c r="D56" i="7"/>
  <c r="H48" i="7"/>
  <c r="F49" i="7"/>
  <c r="E50" i="7"/>
  <c r="D46" i="7"/>
  <c r="D64" i="7"/>
  <c r="H67" i="7"/>
  <c r="G45" i="7"/>
  <c r="F57" i="7"/>
  <c r="F48" i="7"/>
  <c r="C45" i="7"/>
  <c r="G63" i="7"/>
  <c r="G54" i="7"/>
  <c r="C67" i="7"/>
  <c r="F66" i="7"/>
  <c r="C46" i="7"/>
  <c r="C49" i="7"/>
  <c r="D65" i="7"/>
  <c r="F55" i="7"/>
  <c r="F63" i="7"/>
  <c r="G65" i="7"/>
  <c r="D58" i="7"/>
  <c r="H53" i="7"/>
  <c r="D54" i="7"/>
  <c r="H58" i="7"/>
  <c r="H62" i="7"/>
  <c r="E58" i="7"/>
  <c r="G55" i="7"/>
  <c r="H57" i="7"/>
  <c r="H49" i="7"/>
  <c r="F53" i="7"/>
  <c r="D60" i="7"/>
  <c r="I61" i="7"/>
  <c r="C51" i="7"/>
  <c r="H47" i="7"/>
  <c r="H56" i="7"/>
  <c r="E62" i="7"/>
  <c r="E56" i="7"/>
  <c r="F62" i="7"/>
  <c r="E53" i="7"/>
  <c r="E59" i="7"/>
  <c r="D48" i="7"/>
  <c r="F52" i="7"/>
  <c r="H64" i="7"/>
  <c r="F51" i="7"/>
  <c r="D59" i="7"/>
  <c r="H54" i="7"/>
  <c r="I58" i="7"/>
  <c r="G49" i="7"/>
  <c r="I55" i="7"/>
  <c r="F47" i="7"/>
  <c r="C47" i="7"/>
  <c r="C58" i="7"/>
  <c r="F60" i="7"/>
  <c r="D53" i="7"/>
  <c r="C63" i="7"/>
  <c r="I54" i="7"/>
  <c r="C59" i="7"/>
  <c r="E60" i="7"/>
  <c r="F67" i="7"/>
  <c r="G57" i="7"/>
  <c r="E51" i="7"/>
  <c r="D50" i="7"/>
  <c r="D62" i="7"/>
  <c r="E63" i="7"/>
  <c r="H66" i="7"/>
  <c r="I46" i="7"/>
  <c r="E49" i="7"/>
  <c r="H65" i="7"/>
  <c r="F46" i="7"/>
  <c r="F59" i="7"/>
  <c r="E44" i="7"/>
  <c r="I49" i="7"/>
  <c r="I67" i="7"/>
  <c r="D51" i="7"/>
  <c r="E67" i="7"/>
  <c r="I63" i="7"/>
  <c r="C50" i="7"/>
  <c r="I52" i="7"/>
  <c r="E57" i="7"/>
  <c r="E66" i="7"/>
  <c r="H59" i="7"/>
  <c r="E46" i="7"/>
  <c r="G56" i="7"/>
  <c r="I62" i="7"/>
  <c r="I65" i="7"/>
  <c r="H61" i="7"/>
  <c r="I44" i="7"/>
  <c r="H50" i="7"/>
  <c r="Z16" i="29" l="1"/>
  <c r="Z27" i="29" s="1"/>
  <c r="K21" i="29"/>
  <c r="K31" i="29" s="1"/>
  <c r="E32" i="29"/>
  <c r="P14" i="29"/>
  <c r="P25" i="29" s="1"/>
  <c r="B22" i="29"/>
  <c r="E15" i="29"/>
  <c r="E26" i="29" s="1"/>
  <c r="E31" i="29" s="1"/>
  <c r="C21" i="24"/>
  <c r="C24" i="24" s="1"/>
  <c r="E23" i="24"/>
  <c r="K6" i="21"/>
  <c r="F23" i="24"/>
  <c r="B15" i="18"/>
  <c r="AB31" i="29"/>
  <c r="O85" i="30"/>
  <c r="D12" i="31" s="1"/>
  <c r="C12" i="31"/>
  <c r="L6" i="5"/>
  <c r="T6" i="5"/>
  <c r="AB6" i="5"/>
  <c r="C31" i="5"/>
  <c r="K58" i="10"/>
  <c r="B20" i="13"/>
  <c r="R27" i="19"/>
  <c r="N25" i="20"/>
  <c r="O41" i="20"/>
  <c r="O57" i="20"/>
  <c r="O75" i="20"/>
  <c r="O94" i="20"/>
  <c r="N113" i="20"/>
  <c r="N132" i="20"/>
  <c r="P151" i="20"/>
  <c r="O170" i="20"/>
  <c r="O189" i="20"/>
  <c r="O208" i="20"/>
  <c r="N227" i="20"/>
  <c r="N246" i="20"/>
  <c r="Q32" i="22"/>
  <c r="G12" i="24"/>
  <c r="G14" i="29"/>
  <c r="G25" i="29" s="1"/>
  <c r="G30" i="29" s="1"/>
  <c r="W14" i="29"/>
  <c r="W25" i="29" s="1"/>
  <c r="W30" i="29" s="1"/>
  <c r="L15" i="29"/>
  <c r="L26" i="29" s="1"/>
  <c r="L31" i="29" s="1"/>
  <c r="AB15" i="29"/>
  <c r="AB26" i="29" s="1"/>
  <c r="Q16" i="29"/>
  <c r="Q27" i="29" s="1"/>
  <c r="Q32" i="29" s="1"/>
  <c r="H20" i="29"/>
  <c r="D21" i="29"/>
  <c r="D31" i="29" s="1"/>
  <c r="AA21" i="29"/>
  <c r="AA31" i="29" s="1"/>
  <c r="R22" i="29"/>
  <c r="AG32" i="3"/>
  <c r="D31" i="5"/>
  <c r="I35" i="5"/>
  <c r="D38" i="15"/>
  <c r="G218" i="16" s="1"/>
  <c r="D29" i="15"/>
  <c r="G238" i="16" s="1"/>
  <c r="D21" i="15"/>
  <c r="D12" i="15"/>
  <c r="D3" i="15"/>
  <c r="G55" i="16" s="1"/>
  <c r="D37" i="15"/>
  <c r="F37" i="20" s="1"/>
  <c r="G37" i="20" s="1"/>
  <c r="D28" i="15"/>
  <c r="D20" i="15"/>
  <c r="G127" i="16" s="1"/>
  <c r="D11" i="15"/>
  <c r="D36" i="15"/>
  <c r="D27" i="15"/>
  <c r="G220" i="16" s="1"/>
  <c r="D19" i="15"/>
  <c r="D10" i="15"/>
  <c r="D35" i="15"/>
  <c r="D26" i="15"/>
  <c r="G134" i="16" s="1"/>
  <c r="D17" i="15"/>
  <c r="F34" i="20" s="1"/>
  <c r="G34" i="20" s="1"/>
  <c r="D9" i="15"/>
  <c r="D34" i="15"/>
  <c r="D25" i="15"/>
  <c r="G88" i="16" s="1"/>
  <c r="D16" i="15"/>
  <c r="D8" i="15"/>
  <c r="G44" i="16" s="1"/>
  <c r="D33" i="15"/>
  <c r="D24" i="15"/>
  <c r="D15" i="15"/>
  <c r="G136" i="16" s="1"/>
  <c r="D7" i="15"/>
  <c r="D32" i="15"/>
  <c r="G209" i="16" s="1"/>
  <c r="D23" i="15"/>
  <c r="D14" i="15"/>
  <c r="G50" i="16" s="1"/>
  <c r="D5" i="15"/>
  <c r="G73" i="16" s="1"/>
  <c r="D31" i="15"/>
  <c r="D22" i="15"/>
  <c r="D13" i="15"/>
  <c r="D4" i="15"/>
  <c r="C20" i="13"/>
  <c r="U3" i="14"/>
  <c r="T66" i="14"/>
  <c r="B84" i="18"/>
  <c r="O26" i="20"/>
  <c r="P42" i="20"/>
  <c r="N59" i="20"/>
  <c r="N77" i="20"/>
  <c r="P95" i="20"/>
  <c r="P114" i="20"/>
  <c r="P133" i="20"/>
  <c r="O152" i="20"/>
  <c r="O171" i="20"/>
  <c r="O190" i="20"/>
  <c r="N209" i="20"/>
  <c r="N228" i="20"/>
  <c r="P247" i="20"/>
  <c r="Q18" i="22"/>
  <c r="Q38" i="22"/>
  <c r="X14" i="29"/>
  <c r="X25" i="29" s="1"/>
  <c r="X30" i="29" s="1"/>
  <c r="M15" i="29"/>
  <c r="M26" i="29" s="1"/>
  <c r="M31" i="29" s="1"/>
  <c r="N20" i="29"/>
  <c r="N30" i="29" s="1"/>
  <c r="X22" i="29"/>
  <c r="X32" i="29" s="1"/>
  <c r="O48" i="30"/>
  <c r="E20" i="31" s="1"/>
  <c r="O65" i="30"/>
  <c r="E24" i="31" s="1"/>
  <c r="O68" i="30"/>
  <c r="E27" i="31" s="1"/>
  <c r="AG26" i="3"/>
  <c r="D41" i="4"/>
  <c r="E31" i="5"/>
  <c r="Z4" i="13"/>
  <c r="B24" i="13"/>
  <c r="R28" i="19"/>
  <c r="O13" i="20"/>
  <c r="O29" i="20"/>
  <c r="P45" i="20"/>
  <c r="P61" i="20"/>
  <c r="O80" i="20"/>
  <c r="N99" i="20"/>
  <c r="N118" i="20"/>
  <c r="N137" i="20"/>
  <c r="P155" i="20"/>
  <c r="P174" i="20"/>
  <c r="O194" i="20"/>
  <c r="N213" i="20"/>
  <c r="N232" i="20"/>
  <c r="N251" i="20"/>
  <c r="K14" i="29"/>
  <c r="K25" i="29" s="1"/>
  <c r="AA14" i="29"/>
  <c r="AA25" i="29" s="1"/>
  <c r="P15" i="29"/>
  <c r="P26" i="29" s="1"/>
  <c r="O20" i="29"/>
  <c r="O30" i="29" s="1"/>
  <c r="Y22" i="29"/>
  <c r="Y32" i="29" s="1"/>
  <c r="D12" i="5"/>
  <c r="C35" i="5"/>
  <c r="V53" i="10"/>
  <c r="Z5" i="13"/>
  <c r="C24" i="13"/>
  <c r="V159" i="16"/>
  <c r="N14" i="20"/>
  <c r="O30" i="20"/>
  <c r="O46" i="20"/>
  <c r="P62" i="20"/>
  <c r="N81" i="20"/>
  <c r="N100" i="20"/>
  <c r="P119" i="20"/>
  <c r="O138" i="20"/>
  <c r="O157" i="20"/>
  <c r="O176" i="20"/>
  <c r="N195" i="20"/>
  <c r="N214" i="20"/>
  <c r="N233" i="20"/>
  <c r="P251" i="20"/>
  <c r="M5" i="21"/>
  <c r="N6" i="21"/>
  <c r="C15" i="29"/>
  <c r="C26" i="29" s="1"/>
  <c r="C31" i="29" s="1"/>
  <c r="S15" i="29"/>
  <c r="S26" i="29" s="1"/>
  <c r="S31" i="29" s="1"/>
  <c r="H16" i="29"/>
  <c r="H27" i="29" s="1"/>
  <c r="H32" i="29" s="1"/>
  <c r="N36" i="30"/>
  <c r="I6" i="5"/>
  <c r="Q6" i="5"/>
  <c r="Y6" i="5"/>
  <c r="AG6" i="5"/>
  <c r="C34" i="5"/>
  <c r="D28" i="10"/>
  <c r="F28" i="10" s="1"/>
  <c r="Z6" i="13"/>
  <c r="B28" i="13"/>
  <c r="D33" i="17"/>
  <c r="D37" i="17" s="1"/>
  <c r="D29" i="18"/>
  <c r="D31" i="18" s="1"/>
  <c r="D35" i="18"/>
  <c r="D37" i="18" s="1"/>
  <c r="C35" i="18"/>
  <c r="C29" i="18"/>
  <c r="R30" i="19"/>
  <c r="C8" i="24"/>
  <c r="C11" i="24" s="1"/>
  <c r="D9" i="25"/>
  <c r="T15" i="29"/>
  <c r="T26" i="29" s="1"/>
  <c r="T31" i="29" s="1"/>
  <c r="I16" i="29"/>
  <c r="I27" i="29" s="1"/>
  <c r="I32" i="29" s="1"/>
  <c r="V20" i="29"/>
  <c r="V30" i="29" s="1"/>
  <c r="R31" i="19"/>
  <c r="C20" i="24"/>
  <c r="C23" i="24" s="1"/>
  <c r="E25" i="24"/>
  <c r="D22" i="31"/>
  <c r="T9" i="14"/>
  <c r="K30" i="29"/>
  <c r="AA30" i="29"/>
  <c r="H31" i="29"/>
  <c r="P31" i="29"/>
  <c r="U32" i="29"/>
  <c r="C14" i="29"/>
  <c r="C25" i="29" s="1"/>
  <c r="C30" i="29" s="1"/>
  <c r="S14" i="29"/>
  <c r="S25" i="29" s="1"/>
  <c r="S30" i="29" s="1"/>
  <c r="H15" i="29"/>
  <c r="H26" i="29" s="1"/>
  <c r="X15" i="29"/>
  <c r="X26" i="29" s="1"/>
  <c r="X31" i="29" s="1"/>
  <c r="M16" i="29"/>
  <c r="M27" i="29" s="1"/>
  <c r="M32" i="29" s="1"/>
  <c r="F20" i="29"/>
  <c r="F30" i="29" s="1"/>
  <c r="P22" i="29"/>
  <c r="P32" i="29" s="1"/>
  <c r="O20" i="30"/>
  <c r="D5" i="31" s="1"/>
  <c r="K6" i="5"/>
  <c r="S6" i="5"/>
  <c r="AA6" i="5"/>
  <c r="B16" i="18"/>
  <c r="D16" i="18" s="1"/>
  <c r="N22" i="20"/>
  <c r="O38" i="20"/>
  <c r="O54" i="20"/>
  <c r="N72" i="20"/>
  <c r="N91" i="20"/>
  <c r="P109" i="20"/>
  <c r="P128" i="20"/>
  <c r="P147" i="20"/>
  <c r="O166" i="20"/>
  <c r="O185" i="20"/>
  <c r="N205" i="20"/>
  <c r="P223" i="20"/>
  <c r="P242" i="20"/>
  <c r="P261" i="20"/>
  <c r="D27" i="31"/>
  <c r="O5" i="21"/>
  <c r="K5" i="21"/>
  <c r="Q24" i="23"/>
  <c r="C18" i="27"/>
  <c r="C17" i="27"/>
  <c r="E17" i="27" s="1"/>
  <c r="N17" i="27" s="1"/>
  <c r="Q59" i="22"/>
  <c r="Q17" i="23"/>
  <c r="C19" i="27"/>
  <c r="E19" i="27" s="1"/>
  <c r="N18" i="27" s="1"/>
  <c r="C20" i="27"/>
  <c r="Q24" i="22"/>
  <c r="Q32" i="23"/>
  <c r="I11" i="25"/>
  <c r="C21" i="27"/>
  <c r="Q53" i="23"/>
  <c r="C22" i="27"/>
  <c r="E22" i="27" s="1"/>
  <c r="O19" i="27" s="1"/>
  <c r="V270" i="15"/>
  <c r="V282" i="15"/>
  <c r="V286" i="15"/>
  <c r="E22" i="28"/>
  <c r="R19" i="17"/>
  <c r="C40" i="17"/>
  <c r="C32" i="27"/>
  <c r="E18" i="27"/>
  <c r="O17" i="27" s="1"/>
  <c r="C16" i="17"/>
  <c r="E16" i="17" s="1"/>
  <c r="N14" i="17" s="1"/>
  <c r="I19" i="27"/>
  <c r="W277" i="15"/>
  <c r="W271" i="15"/>
  <c r="W295" i="15"/>
  <c r="V272" i="15"/>
  <c r="V280" i="15"/>
  <c r="W288" i="15"/>
  <c r="W296" i="15"/>
  <c r="W258" i="15"/>
  <c r="V262" i="15"/>
  <c r="W263" i="15"/>
  <c r="V279" i="15"/>
  <c r="V261" i="15"/>
  <c r="V264" i="15"/>
  <c r="W279" i="15"/>
  <c r="W267" i="15"/>
  <c r="V287" i="15"/>
  <c r="T312" i="13"/>
  <c r="U312" i="13" s="1"/>
  <c r="D19" i="2"/>
  <c r="D7" i="4" s="1"/>
  <c r="D107" i="4"/>
  <c r="D127" i="4" s="1"/>
  <c r="V259" i="15"/>
  <c r="V263" i="15"/>
  <c r="V281" i="15"/>
  <c r="T22" i="13"/>
  <c r="U22" i="13" s="1"/>
  <c r="T11" i="13"/>
  <c r="U11" i="13" s="1"/>
  <c r="T57" i="13"/>
  <c r="U57" i="13" s="1"/>
  <c r="T54" i="13"/>
  <c r="U54" i="13" s="1"/>
  <c r="T80" i="13"/>
  <c r="U80" i="13" s="1"/>
  <c r="T96" i="13"/>
  <c r="U96" i="13" s="1"/>
  <c r="T110" i="13"/>
  <c r="U110" i="13" s="1"/>
  <c r="V258" i="15"/>
  <c r="V271" i="15"/>
  <c r="V295" i="15"/>
  <c r="T67" i="13"/>
  <c r="U67" i="13" s="1"/>
  <c r="T90" i="13"/>
  <c r="U90" i="13" s="1"/>
  <c r="T106" i="13"/>
  <c r="U106" i="13" s="1"/>
  <c r="T117" i="13"/>
  <c r="U117" i="13" s="1"/>
  <c r="W269" i="15"/>
  <c r="V285" i="15"/>
  <c r="T109" i="13"/>
  <c r="U109" i="13" s="1"/>
  <c r="T19" i="13"/>
  <c r="U19" i="13" s="1"/>
  <c r="T102" i="13"/>
  <c r="U102" i="13" s="1"/>
  <c r="W287" i="15"/>
  <c r="V269" i="15"/>
  <c r="W282" i="15"/>
  <c r="W293" i="15"/>
  <c r="E92" i="4"/>
  <c r="F92" i="4" s="1"/>
  <c r="G92" i="4" s="1"/>
  <c r="H92" i="4" s="1"/>
  <c r="I92" i="4" s="1"/>
  <c r="J92" i="4" s="1"/>
  <c r="K92" i="4" s="1"/>
  <c r="L92" i="4" s="1"/>
  <c r="M92" i="4" s="1"/>
  <c r="N92" i="4" s="1"/>
  <c r="O92" i="4" s="1"/>
  <c r="P92" i="4" s="1"/>
  <c r="Q92" i="4" s="1"/>
  <c r="R92" i="4" s="1"/>
  <c r="S92" i="4" s="1"/>
  <c r="T92" i="4" s="1"/>
  <c r="U92" i="4" s="1"/>
  <c r="V92" i="4" s="1"/>
  <c r="W92" i="4" s="1"/>
  <c r="X92" i="4" s="1"/>
  <c r="Y92" i="4" s="1"/>
  <c r="Z92" i="4" s="1"/>
  <c r="AA92" i="4" s="1"/>
  <c r="AB92" i="4" s="1"/>
  <c r="AC92" i="4" s="1"/>
  <c r="AD92" i="4" s="1"/>
  <c r="AE92" i="4" s="1"/>
  <c r="AF92" i="4" s="1"/>
  <c r="AG92" i="4" s="1"/>
  <c r="AH92" i="4" s="1"/>
  <c r="T10" i="13"/>
  <c r="U10" i="13" s="1"/>
  <c r="T46" i="13"/>
  <c r="U46" i="13" s="1"/>
  <c r="T70" i="13"/>
  <c r="U70" i="13" s="1"/>
  <c r="T78" i="13"/>
  <c r="U78" i="13" s="1"/>
  <c r="T118" i="13"/>
  <c r="U118" i="13" s="1"/>
  <c r="T3" i="13"/>
  <c r="U3" i="13" s="1"/>
  <c r="T18" i="13"/>
  <c r="U18" i="13" s="1"/>
  <c r="T43" i="13"/>
  <c r="U43" i="13" s="1"/>
  <c r="T59" i="13"/>
  <c r="U59" i="13" s="1"/>
  <c r="T75" i="13"/>
  <c r="U75" i="13" s="1"/>
  <c r="T88" i="13"/>
  <c r="U88" i="13" s="1"/>
  <c r="T104" i="13"/>
  <c r="U104" i="13" s="1"/>
  <c r="T316" i="13"/>
  <c r="U316" i="13" s="1"/>
  <c r="V273" i="15"/>
  <c r="T92" i="13"/>
  <c r="U92" i="13" s="1"/>
  <c r="T51" i="13"/>
  <c r="U51" i="13" s="1"/>
  <c r="T86" i="13"/>
  <c r="U86" i="13" s="1"/>
  <c r="W274" i="15"/>
  <c r="T27" i="13"/>
  <c r="U27" i="13" s="1"/>
  <c r="T49" i="13"/>
  <c r="U49" i="13" s="1"/>
  <c r="T65" i="13"/>
  <c r="U65" i="13" s="1"/>
  <c r="T84" i="13"/>
  <c r="U84" i="13" s="1"/>
  <c r="T100" i="13"/>
  <c r="U100" i="13" s="1"/>
  <c r="T111" i="13"/>
  <c r="U111" i="13" s="1"/>
  <c r="T12" i="13"/>
  <c r="U12" i="13" s="1"/>
  <c r="T62" i="13"/>
  <c r="U62" i="13" s="1"/>
  <c r="T94" i="13"/>
  <c r="U94" i="13" s="1"/>
  <c r="T15" i="13"/>
  <c r="U15" i="13" s="1"/>
  <c r="T25" i="13"/>
  <c r="U25" i="13" s="1"/>
  <c r="T40" i="13"/>
  <c r="U40" i="13" s="1"/>
  <c r="T73" i="13"/>
  <c r="U73" i="13" s="1"/>
  <c r="T82" i="13"/>
  <c r="U82" i="13" s="1"/>
  <c r="T98" i="13"/>
  <c r="U98" i="13" s="1"/>
  <c r="T119" i="13"/>
  <c r="U119" i="13" s="1"/>
  <c r="T323" i="13"/>
  <c r="U323" i="13" s="1"/>
  <c r="V283" i="15"/>
  <c r="W294" i="15"/>
  <c r="V297" i="15"/>
  <c r="J44" i="7"/>
  <c r="J45" i="7"/>
  <c r="J46" i="7"/>
  <c r="J47" i="7"/>
  <c r="J48" i="7"/>
  <c r="J49" i="7"/>
  <c r="J50" i="7"/>
  <c r="C47" i="17" s="1"/>
  <c r="J51" i="7"/>
  <c r="C48" i="17" s="1"/>
  <c r="J52" i="7"/>
  <c r="C49" i="17" s="1"/>
  <c r="J53" i="7"/>
  <c r="C50" i="17" s="1"/>
  <c r="J54" i="7"/>
  <c r="C51" i="17" s="1"/>
  <c r="J55" i="7"/>
  <c r="C52" i="17" s="1"/>
  <c r="J56" i="7"/>
  <c r="J57" i="7"/>
  <c r="J58" i="7"/>
  <c r="J59" i="7"/>
  <c r="C44" i="25" s="1"/>
  <c r="J60" i="7"/>
  <c r="J61" i="7"/>
  <c r="C46" i="25" s="1"/>
  <c r="J62" i="7"/>
  <c r="J63" i="7"/>
  <c r="J64" i="7"/>
  <c r="J65" i="7"/>
  <c r="J66" i="7"/>
  <c r="J67" i="7"/>
  <c r="D73" i="3"/>
  <c r="D81" i="3"/>
  <c r="F16" i="2"/>
  <c r="AG28" i="3"/>
  <c r="D108" i="4"/>
  <c r="D128" i="4" s="1"/>
  <c r="E78" i="4"/>
  <c r="D35" i="4" a="1"/>
  <c r="D35" i="4" s="1"/>
  <c r="D17" i="4" a="1"/>
  <c r="D17" i="4" s="1"/>
  <c r="D26" i="4" a="1"/>
  <c r="D26" i="4" s="1"/>
  <c r="D79" i="3"/>
  <c r="D6" i="4"/>
  <c r="I55" i="4"/>
  <c r="D36" i="4"/>
  <c r="D18" i="4"/>
  <c r="K60" i="10"/>
  <c r="K52" i="10"/>
  <c r="D38" i="10"/>
  <c r="K56" i="10"/>
  <c r="D50" i="10"/>
  <c r="V55" i="10"/>
  <c r="V49" i="10"/>
  <c r="D72" i="3"/>
  <c r="V253" i="16"/>
  <c r="V251" i="16"/>
  <c r="V249" i="16"/>
  <c r="V247" i="16"/>
  <c r="V245" i="16"/>
  <c r="V243" i="16"/>
  <c r="V241" i="16"/>
  <c r="V239" i="16"/>
  <c r="V237" i="16"/>
  <c r="V235" i="16"/>
  <c r="V233" i="16"/>
  <c r="V231" i="16"/>
  <c r="V229" i="16"/>
  <c r="V227" i="16"/>
  <c r="V225" i="16"/>
  <c r="V223" i="16"/>
  <c r="V221" i="16"/>
  <c r="V219" i="16"/>
  <c r="V217" i="16"/>
  <c r="V215" i="16"/>
  <c r="V213" i="16"/>
  <c r="V211" i="16"/>
  <c r="V209" i="16"/>
  <c r="V207" i="16"/>
  <c r="V205" i="16"/>
  <c r="V203" i="16"/>
  <c r="V201" i="16"/>
  <c r="V199" i="16"/>
  <c r="V197" i="16"/>
  <c r="V195" i="16"/>
  <c r="V193" i="16"/>
  <c r="V186" i="16"/>
  <c r="V185" i="16"/>
  <c r="V188" i="16"/>
  <c r="V187" i="16"/>
  <c r="V172" i="16"/>
  <c r="V171" i="16"/>
  <c r="V190" i="16"/>
  <c r="V189" i="16"/>
  <c r="V174" i="16"/>
  <c r="V173" i="16"/>
  <c r="V252" i="16"/>
  <c r="V248" i="16"/>
  <c r="V244" i="16"/>
  <c r="V240" i="16"/>
  <c r="V236" i="16"/>
  <c r="V232" i="16"/>
  <c r="V228" i="16"/>
  <c r="V224" i="16"/>
  <c r="V220" i="16"/>
  <c r="V216" i="16"/>
  <c r="V212" i="16"/>
  <c r="V208" i="16"/>
  <c r="V204" i="16"/>
  <c r="V200" i="16"/>
  <c r="V196" i="16"/>
  <c r="V192" i="16"/>
  <c r="V191" i="16"/>
  <c r="V176" i="16"/>
  <c r="V175" i="16"/>
  <c r="V181" i="16"/>
  <c r="V250" i="16"/>
  <c r="V242" i="16"/>
  <c r="V234" i="16"/>
  <c r="V226" i="16"/>
  <c r="V218" i="16"/>
  <c r="V210" i="16"/>
  <c r="V202" i="16"/>
  <c r="V194" i="16"/>
  <c r="V183" i="16"/>
  <c r="V178" i="16"/>
  <c r="V180" i="16"/>
  <c r="V182" i="16"/>
  <c r="V198" i="16"/>
  <c r="V254" i="16"/>
  <c r="V246" i="16"/>
  <c r="V184" i="16"/>
  <c r="V179" i="16"/>
  <c r="V238" i="16"/>
  <c r="V230" i="16"/>
  <c r="V177" i="16"/>
  <c r="V222" i="16"/>
  <c r="V214" i="16"/>
  <c r="V206" i="16"/>
  <c r="D82" i="4"/>
  <c r="D97" i="4" s="1"/>
  <c r="AF70" i="3"/>
  <c r="AF76" i="3" s="1"/>
  <c r="AG4" i="4"/>
  <c r="E18" i="2"/>
  <c r="D84" i="3"/>
  <c r="C136" i="3"/>
  <c r="C144" i="3" s="1"/>
  <c r="AG6" i="4"/>
  <c r="U85" i="14"/>
  <c r="U83" i="14"/>
  <c r="U81" i="14"/>
  <c r="U79" i="14"/>
  <c r="U77" i="14"/>
  <c r="U75" i="14"/>
  <c r="U73" i="14"/>
  <c r="U71" i="14"/>
  <c r="U69" i="14"/>
  <c r="U67" i="14"/>
  <c r="U65" i="14"/>
  <c r="U63" i="14"/>
  <c r="U61" i="14"/>
  <c r="U59" i="14"/>
  <c r="U78" i="14"/>
  <c r="U80" i="14"/>
  <c r="U74" i="14"/>
  <c r="U66" i="14"/>
  <c r="U86" i="14"/>
  <c r="U70" i="14"/>
  <c r="U62" i="14"/>
  <c r="D80" i="4"/>
  <c r="U76" i="14"/>
  <c r="U60" i="14"/>
  <c r="U82" i="14"/>
  <c r="U84" i="14"/>
  <c r="U72" i="14"/>
  <c r="U68" i="14"/>
  <c r="U64" i="14"/>
  <c r="J125" i="4"/>
  <c r="R125" i="4"/>
  <c r="Z125" i="4"/>
  <c r="N284" i="13"/>
  <c r="P121" i="13"/>
  <c r="Q119" i="13"/>
  <c r="R111" i="13"/>
  <c r="M308" i="13"/>
  <c r="M292" i="13"/>
  <c r="M305" i="13"/>
  <c r="M289" i="13"/>
  <c r="M116" i="13"/>
  <c r="N320" i="13"/>
  <c r="M304" i="13"/>
  <c r="M288" i="13"/>
  <c r="Q111" i="13"/>
  <c r="O318" i="13"/>
  <c r="M301" i="13"/>
  <c r="M285" i="13"/>
  <c r="R119" i="13"/>
  <c r="M312" i="13"/>
  <c r="M296" i="13"/>
  <c r="P113" i="13"/>
  <c r="M309" i="13"/>
  <c r="M293" i="13"/>
  <c r="O121" i="13"/>
  <c r="O119" i="13"/>
  <c r="M300" i="13"/>
  <c r="D74" i="3"/>
  <c r="D78" i="3"/>
  <c r="C103" i="3"/>
  <c r="C117" i="3" s="1"/>
  <c r="D5" i="4"/>
  <c r="AG31" i="3"/>
  <c r="AF113" i="3"/>
  <c r="E32" i="10"/>
  <c r="N114" i="13"/>
  <c r="O313" i="13"/>
  <c r="E4" i="4"/>
  <c r="D84" i="4"/>
  <c r="D71" i="3"/>
  <c r="AF108" i="3"/>
  <c r="E17" i="2"/>
  <c r="AG19" i="2"/>
  <c r="AG24" i="3"/>
  <c r="D76" i="3"/>
  <c r="D82" i="3"/>
  <c r="D77" i="3"/>
  <c r="D27" i="4"/>
  <c r="AG5" i="4"/>
  <c r="AG33" i="3"/>
  <c r="AF136" i="3"/>
  <c r="AF141" i="3" s="1"/>
  <c r="C70" i="3"/>
  <c r="C77" i="3" s="1"/>
  <c r="D4" i="4"/>
  <c r="AG23" i="3"/>
  <c r="AF78" i="3"/>
  <c r="D75" i="3"/>
  <c r="AF103" i="3"/>
  <c r="AF116" i="3" s="1"/>
  <c r="K50" i="10"/>
  <c r="G160" i="16"/>
  <c r="S279" i="15"/>
  <c r="O276" i="15"/>
  <c r="N294" i="15"/>
  <c r="R281" i="15"/>
  <c r="O263" i="15"/>
  <c r="N263" i="15"/>
  <c r="T269" i="15"/>
  <c r="P285" i="15"/>
  <c r="I34" i="5"/>
  <c r="E54" i="5" s="1"/>
  <c r="F54" i="5" s="1"/>
  <c r="G54" i="5" s="1"/>
  <c r="H54" i="5" s="1"/>
  <c r="I54" i="5" s="1"/>
  <c r="J54" i="5" s="1"/>
  <c r="K54" i="5" s="1"/>
  <c r="L54" i="5" s="1"/>
  <c r="M54" i="5" s="1"/>
  <c r="N54" i="5" s="1"/>
  <c r="O54" i="5" s="1"/>
  <c r="P54" i="5" s="1"/>
  <c r="Q54" i="5" s="1"/>
  <c r="R54" i="5" s="1"/>
  <c r="S54" i="5" s="1"/>
  <c r="T54" i="5" s="1"/>
  <c r="U54" i="5" s="1"/>
  <c r="V54" i="5" s="1"/>
  <c r="W54" i="5" s="1"/>
  <c r="X54" i="5" s="1"/>
  <c r="Y54" i="5" s="1"/>
  <c r="Z54" i="5" s="1"/>
  <c r="AA54" i="5" s="1"/>
  <c r="AB54" i="5" s="1"/>
  <c r="AC54" i="5" s="1"/>
  <c r="AD54" i="5" s="1"/>
  <c r="AE54" i="5" s="1"/>
  <c r="AF54" i="5" s="1"/>
  <c r="AG54" i="5" s="1"/>
  <c r="AH54" i="5" s="1"/>
  <c r="D83" i="3"/>
  <c r="K125" i="4"/>
  <c r="AA125" i="4"/>
  <c r="D34" i="10"/>
  <c r="D52" i="10"/>
  <c r="V59" i="10"/>
  <c r="AF145" i="3"/>
  <c r="O274" i="15"/>
  <c r="D42" i="4"/>
  <c r="D54" i="4"/>
  <c r="D99" i="4" s="1"/>
  <c r="H56" i="4"/>
  <c r="I63" i="4"/>
  <c r="G11" i="7"/>
  <c r="E38" i="10"/>
  <c r="D80" i="3"/>
  <c r="P60" i="10"/>
  <c r="E60" i="10"/>
  <c r="P59" i="10"/>
  <c r="E59" i="10"/>
  <c r="P58" i="10"/>
  <c r="E58" i="10"/>
  <c r="P57" i="10"/>
  <c r="E57" i="10"/>
  <c r="P56" i="10"/>
  <c r="E56" i="10"/>
  <c r="P55" i="10"/>
  <c r="E55" i="10"/>
  <c r="P54" i="10"/>
  <c r="E54" i="10"/>
  <c r="P53" i="10"/>
  <c r="E53" i="10"/>
  <c r="P52" i="10"/>
  <c r="E52" i="10"/>
  <c r="P51" i="10"/>
  <c r="E51" i="10"/>
  <c r="P50" i="10"/>
  <c r="E50" i="10"/>
  <c r="O59" i="10"/>
  <c r="O57" i="10"/>
  <c r="O55" i="10"/>
  <c r="O53" i="10"/>
  <c r="O51" i="10"/>
  <c r="P49" i="10"/>
  <c r="D32" i="10"/>
  <c r="K59" i="10"/>
  <c r="K57" i="10"/>
  <c r="K55" i="10"/>
  <c r="K53" i="10"/>
  <c r="K51" i="10"/>
  <c r="O49" i="10"/>
  <c r="E36" i="10"/>
  <c r="D59" i="10"/>
  <c r="D57" i="10"/>
  <c r="D55" i="10"/>
  <c r="D53" i="10"/>
  <c r="D51" i="10"/>
  <c r="K49" i="10"/>
  <c r="D36" i="10"/>
  <c r="E30" i="10"/>
  <c r="V60" i="10"/>
  <c r="V58" i="10"/>
  <c r="V56" i="10"/>
  <c r="V54" i="10"/>
  <c r="V52" i="10"/>
  <c r="V50" i="10"/>
  <c r="E49" i="10"/>
  <c r="D30" i="10"/>
  <c r="O60" i="10"/>
  <c r="O58" i="10"/>
  <c r="O56" i="10"/>
  <c r="O54" i="10"/>
  <c r="O52" i="10"/>
  <c r="O50" i="10"/>
  <c r="D49" i="10"/>
  <c r="E34" i="10"/>
  <c r="D60" i="10"/>
  <c r="D58" i="10"/>
  <c r="D56" i="10"/>
  <c r="D54" i="10"/>
  <c r="K54" i="10"/>
  <c r="N311" i="13"/>
  <c r="R117" i="13"/>
  <c r="Q117" i="13"/>
  <c r="P117" i="13"/>
  <c r="O117" i="13"/>
  <c r="N117" i="13"/>
  <c r="M117" i="13"/>
  <c r="R322" i="13"/>
  <c r="O123" i="13"/>
  <c r="R109" i="13"/>
  <c r="Q109" i="13"/>
  <c r="P109" i="13"/>
  <c r="O109" i="13"/>
  <c r="N109" i="13"/>
  <c r="M109" i="13"/>
  <c r="N288" i="13"/>
  <c r="N292" i="13"/>
  <c r="N296" i="13"/>
  <c r="N300" i="13"/>
  <c r="N304" i="13"/>
  <c r="N308" i="13"/>
  <c r="N312" i="13"/>
  <c r="P318" i="13"/>
  <c r="T3" i="14"/>
  <c r="U9" i="14"/>
  <c r="T19" i="14"/>
  <c r="R256" i="15"/>
  <c r="Q256" i="15"/>
  <c r="T256" i="15"/>
  <c r="S256" i="15"/>
  <c r="P256" i="15"/>
  <c r="O256" i="15"/>
  <c r="N256" i="15"/>
  <c r="W256" i="15"/>
  <c r="V256" i="15"/>
  <c r="Y142" i="16"/>
  <c r="D100" i="4"/>
  <c r="D136" i="4" s="1"/>
  <c r="E85" i="4"/>
  <c r="D125" i="4"/>
  <c r="L125" i="4"/>
  <c r="T125" i="4"/>
  <c r="AB125" i="4"/>
  <c r="J30" i="5"/>
  <c r="J29" i="5"/>
  <c r="J33" i="5"/>
  <c r="J32" i="5"/>
  <c r="J31" i="5"/>
  <c r="D35" i="5"/>
  <c r="J35" i="5" s="1"/>
  <c r="O300" i="13"/>
  <c r="N112" i="13"/>
  <c r="O114" i="13"/>
  <c r="N122" i="13"/>
  <c r="N285" i="13"/>
  <c r="N289" i="13"/>
  <c r="N293" i="13"/>
  <c r="N297" i="13"/>
  <c r="N301" i="13"/>
  <c r="N305" i="13"/>
  <c r="N309" i="13"/>
  <c r="P313" i="13"/>
  <c r="O320" i="13"/>
  <c r="T4" i="14"/>
  <c r="U6" i="14"/>
  <c r="D34" i="5"/>
  <c r="E35" i="5"/>
  <c r="D23" i="7"/>
  <c r="F10" i="7" s="1"/>
  <c r="G10" i="7" s="1"/>
  <c r="U60" i="10"/>
  <c r="Q110" i="13"/>
  <c r="P112" i="13"/>
  <c r="N120" i="13"/>
  <c r="O122" i="13"/>
  <c r="M286" i="13"/>
  <c r="M290" i="13"/>
  <c r="M294" i="13"/>
  <c r="M298" i="13"/>
  <c r="M302" i="13"/>
  <c r="M306" i="13"/>
  <c r="M310" i="13"/>
  <c r="U10" i="14"/>
  <c r="T283" i="15"/>
  <c r="T85" i="14"/>
  <c r="T83" i="14"/>
  <c r="T81" i="14"/>
  <c r="T79" i="14"/>
  <c r="T77" i="14"/>
  <c r="T75" i="14"/>
  <c r="T73" i="14"/>
  <c r="T71" i="14"/>
  <c r="T69" i="14"/>
  <c r="T67" i="14"/>
  <c r="T65" i="14"/>
  <c r="T63" i="14"/>
  <c r="T61" i="14"/>
  <c r="T59" i="14"/>
  <c r="T76" i="14"/>
  <c r="T68" i="14"/>
  <c r="T60" i="14"/>
  <c r="T78" i="14"/>
  <c r="T84" i="14"/>
  <c r="T72" i="14"/>
  <c r="T64" i="14"/>
  <c r="T86" i="14"/>
  <c r="T62" i="14"/>
  <c r="T80" i="14"/>
  <c r="T74" i="14"/>
  <c r="T82" i="14"/>
  <c r="T70" i="14"/>
  <c r="U253" i="16"/>
  <c r="U251" i="16"/>
  <c r="U249" i="16"/>
  <c r="U247" i="16"/>
  <c r="U245" i="16"/>
  <c r="U243" i="16"/>
  <c r="U241" i="16"/>
  <c r="U239" i="16"/>
  <c r="U237" i="16"/>
  <c r="U235" i="16"/>
  <c r="U233" i="16"/>
  <c r="U231" i="16"/>
  <c r="U229" i="16"/>
  <c r="U227" i="16"/>
  <c r="U225" i="16"/>
  <c r="U223" i="16"/>
  <c r="U221" i="16"/>
  <c r="U219" i="16"/>
  <c r="U217" i="16"/>
  <c r="U215" i="16"/>
  <c r="U213" i="16"/>
  <c r="U211" i="16"/>
  <c r="U209" i="16"/>
  <c r="U207" i="16"/>
  <c r="U205" i="16"/>
  <c r="U203" i="16"/>
  <c r="U201" i="16"/>
  <c r="U199" i="16"/>
  <c r="U197" i="16"/>
  <c r="U195" i="16"/>
  <c r="U193" i="16"/>
  <c r="U191" i="16"/>
  <c r="U189" i="16"/>
  <c r="U187" i="16"/>
  <c r="U185" i="16"/>
  <c r="U183" i="16"/>
  <c r="U181" i="16"/>
  <c r="U179" i="16"/>
  <c r="U177" i="16"/>
  <c r="U175" i="16"/>
  <c r="U173" i="16"/>
  <c r="U171" i="16"/>
  <c r="U254" i="16"/>
  <c r="U250" i="16"/>
  <c r="U246" i="16"/>
  <c r="U242" i="16"/>
  <c r="U238" i="16"/>
  <c r="U234" i="16"/>
  <c r="U230" i="16"/>
  <c r="U226" i="16"/>
  <c r="U222" i="16"/>
  <c r="U218" i="16"/>
  <c r="U214" i="16"/>
  <c r="U210" i="16"/>
  <c r="U206" i="16"/>
  <c r="U202" i="16"/>
  <c r="U198" i="16"/>
  <c r="U194" i="16"/>
  <c r="U184" i="16"/>
  <c r="U186" i="16"/>
  <c r="U188" i="16"/>
  <c r="U172" i="16"/>
  <c r="U190" i="16"/>
  <c r="U174" i="16"/>
  <c r="U252" i="16"/>
  <c r="U244" i="16"/>
  <c r="U236" i="16"/>
  <c r="U228" i="16"/>
  <c r="U220" i="16"/>
  <c r="U212" i="16"/>
  <c r="U204" i="16"/>
  <c r="U196" i="16"/>
  <c r="U176" i="16"/>
  <c r="U178" i="16"/>
  <c r="U180" i="16"/>
  <c r="U248" i="16"/>
  <c r="U240" i="16"/>
  <c r="U232" i="16"/>
  <c r="U224" i="16"/>
  <c r="U216" i="16"/>
  <c r="U208" i="16"/>
  <c r="U182" i="16"/>
  <c r="U200" i="16"/>
  <c r="U192" i="16"/>
  <c r="D81" i="4"/>
  <c r="D96" i="4" s="1"/>
  <c r="D121" i="4" s="1"/>
  <c r="D83" i="4"/>
  <c r="E34" i="5"/>
  <c r="U51" i="10"/>
  <c r="R110" i="13"/>
  <c r="Q112" i="13"/>
  <c r="M115" i="13"/>
  <c r="Q118" i="13"/>
  <c r="P120" i="13"/>
  <c r="N286" i="13"/>
  <c r="N290" i="13"/>
  <c r="N294" i="13"/>
  <c r="N298" i="13"/>
  <c r="N302" i="13"/>
  <c r="N306" i="13"/>
  <c r="N310" i="13"/>
  <c r="M315" i="13"/>
  <c r="M322" i="13"/>
  <c r="U7" i="14"/>
  <c r="U16" i="14"/>
  <c r="V266" i="15"/>
  <c r="R266" i="15"/>
  <c r="Q266" i="15"/>
  <c r="P266" i="15"/>
  <c r="O266" i="15"/>
  <c r="W266" i="15"/>
  <c r="N266" i="15"/>
  <c r="T7" i="14"/>
  <c r="T30" i="14"/>
  <c r="T17" i="14"/>
  <c r="T23" i="14"/>
  <c r="T20" i="14"/>
  <c r="T14" i="14"/>
  <c r="T11" i="14"/>
  <c r="T25" i="14"/>
  <c r="T22" i="14"/>
  <c r="T16" i="14"/>
  <c r="T28" i="14"/>
  <c r="T6" i="14"/>
  <c r="T12" i="14"/>
  <c r="T29" i="14"/>
  <c r="T26" i="14"/>
  <c r="T13" i="14"/>
  <c r="D49" i="4"/>
  <c r="D37" i="4"/>
  <c r="T21" i="14"/>
  <c r="T18" i="14"/>
  <c r="T27" i="14"/>
  <c r="T24" i="14"/>
  <c r="T15" i="14"/>
  <c r="T8" i="14"/>
  <c r="U29" i="14"/>
  <c r="U27" i="14"/>
  <c r="U25" i="14"/>
  <c r="U23" i="14"/>
  <c r="U21" i="14"/>
  <c r="U19" i="14"/>
  <c r="U17" i="14"/>
  <c r="U8" i="14"/>
  <c r="U20" i="14"/>
  <c r="U14" i="14"/>
  <c r="U11" i="14"/>
  <c r="U26" i="14"/>
  <c r="U5" i="14"/>
  <c r="U28" i="14"/>
  <c r="U18" i="14"/>
  <c r="U15" i="14"/>
  <c r="U12" i="14"/>
  <c r="U4" i="14"/>
  <c r="U13" i="14"/>
  <c r="D38" i="4"/>
  <c r="U24" i="14"/>
  <c r="D50" i="4"/>
  <c r="U30" i="14"/>
  <c r="U7" i="16"/>
  <c r="U81" i="16"/>
  <c r="U78" i="16"/>
  <c r="U84" i="16"/>
  <c r="U71" i="16"/>
  <c r="U68" i="16"/>
  <c r="U55" i="16"/>
  <c r="U52" i="16"/>
  <c r="U39" i="16"/>
  <c r="U36" i="16"/>
  <c r="U77" i="16"/>
  <c r="U74" i="16"/>
  <c r="U61" i="16"/>
  <c r="U58" i="16"/>
  <c r="U45" i="16"/>
  <c r="U42" i="16"/>
  <c r="U29" i="16"/>
  <c r="U26" i="16"/>
  <c r="U79" i="16"/>
  <c r="U66" i="16"/>
  <c r="U65" i="16"/>
  <c r="U62" i="16"/>
  <c r="U13" i="16"/>
  <c r="U85" i="16"/>
  <c r="U80" i="16"/>
  <c r="U24" i="16"/>
  <c r="U19" i="16"/>
  <c r="U16" i="16"/>
  <c r="U10" i="16"/>
  <c r="U4" i="16"/>
  <c r="U86" i="16"/>
  <c r="U69" i="16"/>
  <c r="U75" i="16"/>
  <c r="U70" i="16"/>
  <c r="U35" i="16"/>
  <c r="U32" i="16"/>
  <c r="U31" i="16"/>
  <c r="U22" i="16"/>
  <c r="U15" i="16"/>
  <c r="U12" i="16"/>
  <c r="U76" i="16"/>
  <c r="U41" i="16"/>
  <c r="U38" i="16"/>
  <c r="U37" i="16"/>
  <c r="U34" i="16"/>
  <c r="U33" i="16"/>
  <c r="U30" i="16"/>
  <c r="U28" i="16"/>
  <c r="U21" i="16"/>
  <c r="U18" i="16"/>
  <c r="U9" i="16"/>
  <c r="U82" i="16"/>
  <c r="U50" i="16"/>
  <c r="U47" i="16"/>
  <c r="U23" i="16"/>
  <c r="U3" i="16"/>
  <c r="U44" i="16"/>
  <c r="U40" i="16"/>
  <c r="U72" i="16"/>
  <c r="U63" i="16"/>
  <c r="U60" i="16"/>
  <c r="U57" i="16"/>
  <c r="U49" i="16"/>
  <c r="U54" i="16"/>
  <c r="U51" i="16"/>
  <c r="U46" i="16"/>
  <c r="U6" i="16"/>
  <c r="U83" i="16"/>
  <c r="U48" i="16"/>
  <c r="U43" i="16"/>
  <c r="U27" i="16"/>
  <c r="U67" i="16"/>
  <c r="U56" i="16"/>
  <c r="U14" i="16"/>
  <c r="U64" i="16"/>
  <c r="U53" i="16"/>
  <c r="U20" i="16"/>
  <c r="U5" i="16"/>
  <c r="U8" i="16"/>
  <c r="U73" i="16"/>
  <c r="U25" i="16"/>
  <c r="U59" i="16"/>
  <c r="D39" i="4"/>
  <c r="U17" i="16"/>
  <c r="V8" i="16"/>
  <c r="V3" i="16"/>
  <c r="V84" i="16"/>
  <c r="V71" i="16"/>
  <c r="V68" i="16"/>
  <c r="V77" i="16"/>
  <c r="V74" i="16"/>
  <c r="V61" i="16"/>
  <c r="V58" i="16"/>
  <c r="V45" i="16"/>
  <c r="V42" i="16"/>
  <c r="V29" i="16"/>
  <c r="V83" i="16"/>
  <c r="V80" i="16"/>
  <c r="V67" i="16"/>
  <c r="V64" i="16"/>
  <c r="V51" i="16"/>
  <c r="V48" i="16"/>
  <c r="V35" i="16"/>
  <c r="V32" i="16"/>
  <c r="V85" i="16"/>
  <c r="V24" i="16"/>
  <c r="V19" i="16"/>
  <c r="V16" i="16"/>
  <c r="V10" i="16"/>
  <c r="V4" i="16"/>
  <c r="V86" i="16"/>
  <c r="V69" i="16"/>
  <c r="V23" i="16"/>
  <c r="V6" i="16"/>
  <c r="V75" i="16"/>
  <c r="V70" i="16"/>
  <c r="V81" i="16"/>
  <c r="V76" i="16"/>
  <c r="V41" i="16"/>
  <c r="V38" i="16"/>
  <c r="V37" i="16"/>
  <c r="V34" i="16"/>
  <c r="V33" i="16"/>
  <c r="V30" i="16"/>
  <c r="V28" i="16"/>
  <c r="V21" i="16"/>
  <c r="V18" i="16"/>
  <c r="V9" i="16"/>
  <c r="V82" i="16"/>
  <c r="V47" i="16"/>
  <c r="V44" i="16"/>
  <c r="V43" i="16"/>
  <c r="V40" i="16"/>
  <c r="V39" i="16"/>
  <c r="V36" i="16"/>
  <c r="V27" i="16"/>
  <c r="V7" i="16"/>
  <c r="V79" i="16"/>
  <c r="V15" i="16"/>
  <c r="V12" i="16"/>
  <c r="V72" i="16"/>
  <c r="V66" i="16"/>
  <c r="V63" i="16"/>
  <c r="V55" i="16"/>
  <c r="V60" i="16"/>
  <c r="V57" i="16"/>
  <c r="V52" i="16"/>
  <c r="V49" i="16"/>
  <c r="V26" i="16"/>
  <c r="V78" i="16"/>
  <c r="V54" i="16"/>
  <c r="V46" i="16"/>
  <c r="V13" i="16"/>
  <c r="V65" i="16"/>
  <c r="V31" i="16"/>
  <c r="V22" i="16"/>
  <c r="V5" i="16"/>
  <c r="V62" i="16"/>
  <c r="V59" i="16"/>
  <c r="V17" i="16"/>
  <c r="V14" i="16"/>
  <c r="V11" i="16"/>
  <c r="V56" i="16"/>
  <c r="V53" i="16"/>
  <c r="V20" i="16"/>
  <c r="V73" i="16"/>
  <c r="V25" i="16"/>
  <c r="V50" i="16"/>
  <c r="D40" i="4"/>
  <c r="F62" i="4"/>
  <c r="M6" i="5"/>
  <c r="U6" i="5"/>
  <c r="AC6" i="5"/>
  <c r="I21" i="23"/>
  <c r="I20" i="22"/>
  <c r="D14" i="18"/>
  <c r="N113" i="13"/>
  <c r="N115" i="13"/>
  <c r="R118" i="13"/>
  <c r="Q120" i="13"/>
  <c r="M123" i="13"/>
  <c r="M287" i="13"/>
  <c r="M291" i="13"/>
  <c r="M295" i="13"/>
  <c r="M299" i="13"/>
  <c r="M303" i="13"/>
  <c r="M307" i="13"/>
  <c r="M311" i="13"/>
  <c r="O316" i="13"/>
  <c r="T5" i="14"/>
  <c r="T57" i="14"/>
  <c r="T55" i="14"/>
  <c r="T53" i="14"/>
  <c r="T51" i="14"/>
  <c r="T49" i="14"/>
  <c r="T47" i="14"/>
  <c r="T45" i="14"/>
  <c r="T43" i="14"/>
  <c r="T41" i="14"/>
  <c r="T39" i="14"/>
  <c r="T37" i="14"/>
  <c r="T52" i="14"/>
  <c r="T44" i="14"/>
  <c r="T33" i="14"/>
  <c r="T36" i="14"/>
  <c r="T56" i="14"/>
  <c r="T48" i="14"/>
  <c r="T40" i="14"/>
  <c r="T31" i="14"/>
  <c r="T46" i="14"/>
  <c r="T34" i="14"/>
  <c r="T58" i="14"/>
  <c r="T42" i="14"/>
  <c r="T35" i="14"/>
  <c r="T32" i="14"/>
  <c r="D64" i="4"/>
  <c r="T54" i="14"/>
  <c r="T38" i="14"/>
  <c r="U57" i="14"/>
  <c r="U55" i="14"/>
  <c r="U53" i="14"/>
  <c r="U51" i="14"/>
  <c r="U49" i="14"/>
  <c r="U47" i="14"/>
  <c r="U45" i="14"/>
  <c r="U43" i="14"/>
  <c r="U41" i="14"/>
  <c r="U39" i="14"/>
  <c r="U37" i="14"/>
  <c r="U35" i="14"/>
  <c r="U33" i="14"/>
  <c r="U31" i="14"/>
  <c r="U36" i="14"/>
  <c r="U58" i="14"/>
  <c r="U50" i="14"/>
  <c r="U42" i="14"/>
  <c r="U54" i="14"/>
  <c r="U46" i="14"/>
  <c r="U38" i="14"/>
  <c r="U34" i="14"/>
  <c r="U44" i="14"/>
  <c r="U32" i="14"/>
  <c r="U56" i="14"/>
  <c r="U40" i="14"/>
  <c r="D65" i="4"/>
  <c r="U52" i="14"/>
  <c r="U169" i="16"/>
  <c r="U167" i="16"/>
  <c r="U168" i="16"/>
  <c r="U164" i="16"/>
  <c r="U156" i="16"/>
  <c r="U145" i="16"/>
  <c r="U142" i="16"/>
  <c r="U129" i="16"/>
  <c r="U126" i="16"/>
  <c r="U113" i="16"/>
  <c r="U110" i="16"/>
  <c r="U97" i="16"/>
  <c r="U94" i="16"/>
  <c r="U170" i="16"/>
  <c r="U163" i="16"/>
  <c r="U155" i="16"/>
  <c r="U148" i="16"/>
  <c r="U135" i="16"/>
  <c r="U132" i="16"/>
  <c r="U119" i="16"/>
  <c r="U116" i="16"/>
  <c r="U103" i="16"/>
  <c r="U100" i="16"/>
  <c r="U87" i="16"/>
  <c r="U162" i="16"/>
  <c r="U154" i="16"/>
  <c r="U141" i="16"/>
  <c r="U138" i="16"/>
  <c r="U125" i="16"/>
  <c r="U122" i="16"/>
  <c r="U109" i="16"/>
  <c r="U106" i="16"/>
  <c r="U93" i="16"/>
  <c r="U90" i="16"/>
  <c r="U161" i="16"/>
  <c r="U153" i="16"/>
  <c r="U147" i="16"/>
  <c r="U144" i="16"/>
  <c r="U131" i="16"/>
  <c r="U128" i="16"/>
  <c r="U115" i="16"/>
  <c r="U112" i="16"/>
  <c r="U150" i="16"/>
  <c r="U133" i="16"/>
  <c r="U130" i="16"/>
  <c r="U101" i="16"/>
  <c r="U96" i="16"/>
  <c r="U166" i="16"/>
  <c r="U157" i="16"/>
  <c r="U139" i="16"/>
  <c r="U136" i="16"/>
  <c r="U107" i="16"/>
  <c r="U102" i="16"/>
  <c r="U160" i="16"/>
  <c r="U137" i="16"/>
  <c r="U134" i="16"/>
  <c r="U91" i="16"/>
  <c r="U151" i="16"/>
  <c r="U143" i="16"/>
  <c r="U140" i="16"/>
  <c r="U111" i="16"/>
  <c r="U108" i="16"/>
  <c r="U92" i="16"/>
  <c r="U158" i="16"/>
  <c r="U146" i="16"/>
  <c r="U117" i="16"/>
  <c r="U114" i="16"/>
  <c r="U99" i="16"/>
  <c r="U98" i="16"/>
  <c r="U159" i="16"/>
  <c r="U149" i="16"/>
  <c r="U120" i="16"/>
  <c r="U95" i="16"/>
  <c r="U124" i="16"/>
  <c r="U104" i="16"/>
  <c r="U88" i="16"/>
  <c r="U152" i="16"/>
  <c r="U123" i="16"/>
  <c r="U127" i="16"/>
  <c r="U165" i="16"/>
  <c r="U118" i="16"/>
  <c r="U121" i="16"/>
  <c r="U105" i="16"/>
  <c r="U89" i="16"/>
  <c r="V170" i="16"/>
  <c r="V169" i="16"/>
  <c r="V163" i="16"/>
  <c r="V155" i="16"/>
  <c r="V148" i="16"/>
  <c r="V135" i="16"/>
  <c r="V132" i="16"/>
  <c r="V119" i="16"/>
  <c r="V116" i="16"/>
  <c r="V103" i="16"/>
  <c r="V100" i="16"/>
  <c r="V87" i="16"/>
  <c r="V162" i="16"/>
  <c r="V154" i="16"/>
  <c r="V141" i="16"/>
  <c r="V138" i="16"/>
  <c r="V125" i="16"/>
  <c r="V122" i="16"/>
  <c r="V109" i="16"/>
  <c r="V106" i="16"/>
  <c r="V93" i="16"/>
  <c r="V90" i="16"/>
  <c r="V161" i="16"/>
  <c r="V153" i="16"/>
  <c r="V147" i="16"/>
  <c r="V144" i="16"/>
  <c r="V131" i="16"/>
  <c r="V128" i="16"/>
  <c r="V115" i="16"/>
  <c r="V112" i="16"/>
  <c r="V99" i="16"/>
  <c r="V96" i="16"/>
  <c r="V160" i="16"/>
  <c r="V152" i="16"/>
  <c r="V137" i="16"/>
  <c r="V134" i="16"/>
  <c r="V121" i="16"/>
  <c r="V118" i="16"/>
  <c r="V166" i="16"/>
  <c r="V157" i="16"/>
  <c r="V139" i="16"/>
  <c r="V136" i="16"/>
  <c r="V107" i="16"/>
  <c r="V102" i="16"/>
  <c r="V168" i="16"/>
  <c r="V164" i="16"/>
  <c r="V145" i="16"/>
  <c r="V142" i="16"/>
  <c r="V113" i="16"/>
  <c r="V110" i="16"/>
  <c r="V91" i="16"/>
  <c r="V151" i="16"/>
  <c r="V143" i="16"/>
  <c r="V140" i="16"/>
  <c r="V111" i="16"/>
  <c r="V108" i="16"/>
  <c r="V97" i="16"/>
  <c r="V92" i="16"/>
  <c r="V158" i="16"/>
  <c r="V146" i="16"/>
  <c r="V117" i="16"/>
  <c r="V114" i="16"/>
  <c r="V98" i="16"/>
  <c r="V165" i="16"/>
  <c r="V149" i="16"/>
  <c r="V123" i="16"/>
  <c r="V120" i="16"/>
  <c r="V105" i="16"/>
  <c r="V104" i="16"/>
  <c r="V133" i="16"/>
  <c r="V95" i="16"/>
  <c r="V124" i="16"/>
  <c r="V88" i="16"/>
  <c r="V167" i="16"/>
  <c r="V101" i="16"/>
  <c r="V127" i="16"/>
  <c r="V94" i="16"/>
  <c r="V156" i="16"/>
  <c r="V126" i="16"/>
  <c r="V89" i="16"/>
  <c r="V150" i="16"/>
  <c r="V130" i="16"/>
  <c r="V129" i="16"/>
  <c r="D53" i="4"/>
  <c r="D98" i="4" s="1"/>
  <c r="N6" i="5"/>
  <c r="F51" i="5"/>
  <c r="J49" i="10"/>
  <c r="O111" i="13"/>
  <c r="O113" i="13"/>
  <c r="R116" i="13"/>
  <c r="Q116" i="13"/>
  <c r="P116" i="13"/>
  <c r="O116" i="13"/>
  <c r="N116" i="13"/>
  <c r="N121" i="13"/>
  <c r="N123" i="13"/>
  <c r="N287" i="13"/>
  <c r="N291" i="13"/>
  <c r="N295" i="13"/>
  <c r="N299" i="13"/>
  <c r="N303" i="13"/>
  <c r="N307" i="13"/>
  <c r="B21" i="13"/>
  <c r="B25" i="13"/>
  <c r="R112" i="13"/>
  <c r="Q113" i="13"/>
  <c r="P114" i="13"/>
  <c r="O115" i="13"/>
  <c r="R120" i="13"/>
  <c r="Q121" i="13"/>
  <c r="P122" i="13"/>
  <c r="O284" i="13"/>
  <c r="O285" i="13"/>
  <c r="O286" i="13"/>
  <c r="O287" i="13"/>
  <c r="O288" i="13"/>
  <c r="O289" i="13"/>
  <c r="O290" i="13"/>
  <c r="O291" i="13"/>
  <c r="O292" i="13"/>
  <c r="O293" i="13"/>
  <c r="O294" i="13"/>
  <c r="O295" i="13"/>
  <c r="O296" i="13"/>
  <c r="O297" i="13"/>
  <c r="O298" i="13"/>
  <c r="O299" i="13"/>
  <c r="O301" i="13"/>
  <c r="O302" i="13"/>
  <c r="O303" i="13"/>
  <c r="O304" i="13"/>
  <c r="O305" i="13"/>
  <c r="O306" i="13"/>
  <c r="O307" i="13"/>
  <c r="O308" i="13"/>
  <c r="O309" i="13"/>
  <c r="O310" i="13"/>
  <c r="O311" i="13"/>
  <c r="O312" i="13"/>
  <c r="T313" i="13"/>
  <c r="U313" i="13" s="1"/>
  <c r="N315" i="13"/>
  <c r="R318" i="13"/>
  <c r="R320" i="13"/>
  <c r="P322" i="13"/>
  <c r="P296" i="15"/>
  <c r="O293" i="15"/>
  <c r="O291" i="15"/>
  <c r="O257" i="15"/>
  <c r="W257" i="15"/>
  <c r="N257" i="15"/>
  <c r="S257" i="15"/>
  <c r="R257" i="15"/>
  <c r="Q257" i="15"/>
  <c r="P257" i="15"/>
  <c r="V257" i="15"/>
  <c r="T257" i="15"/>
  <c r="T259" i="15"/>
  <c r="T272" i="15"/>
  <c r="T284" i="15"/>
  <c r="Q294" i="15"/>
  <c r="P297" i="15"/>
  <c r="C16" i="18"/>
  <c r="F49" i="10"/>
  <c r="Q49" i="10"/>
  <c r="F50" i="10"/>
  <c r="Q50" i="10"/>
  <c r="F51" i="10"/>
  <c r="Q51" i="10"/>
  <c r="F52" i="10"/>
  <c r="Q52" i="10"/>
  <c r="F53" i="10"/>
  <c r="Q53" i="10"/>
  <c r="F54" i="10"/>
  <c r="Q54" i="10"/>
  <c r="F55" i="10"/>
  <c r="Q55" i="10"/>
  <c r="F56" i="10"/>
  <c r="Q56" i="10"/>
  <c r="F57" i="10"/>
  <c r="Q57" i="10"/>
  <c r="F58" i="10"/>
  <c r="Q58" i="10"/>
  <c r="F59" i="10"/>
  <c r="Q59" i="10"/>
  <c r="F60" i="10"/>
  <c r="Q60" i="10"/>
  <c r="Z7" i="13"/>
  <c r="T9" i="13"/>
  <c r="U9" i="13" s="1"/>
  <c r="C17" i="13"/>
  <c r="C21" i="13"/>
  <c r="C25" i="13"/>
  <c r="T24" i="13"/>
  <c r="U24" i="13" s="1"/>
  <c r="T29" i="13"/>
  <c r="U29" i="13" s="1"/>
  <c r="T31" i="13"/>
  <c r="U31" i="13" s="1"/>
  <c r="T33" i="13"/>
  <c r="U33" i="13" s="1"/>
  <c r="T35" i="13"/>
  <c r="U35" i="13" s="1"/>
  <c r="T37" i="13"/>
  <c r="U37" i="13" s="1"/>
  <c r="T39" i="13"/>
  <c r="U39" i="13" s="1"/>
  <c r="T48" i="13"/>
  <c r="U48" i="13" s="1"/>
  <c r="T56" i="13"/>
  <c r="U56" i="13" s="1"/>
  <c r="T64" i="13"/>
  <c r="U64" i="13" s="1"/>
  <c r="T72" i="13"/>
  <c r="U72" i="13" s="1"/>
  <c r="M110" i="13"/>
  <c r="T112" i="13"/>
  <c r="U112" i="13" s="1"/>
  <c r="R113" i="13"/>
  <c r="Q114" i="13"/>
  <c r="P115" i="13"/>
  <c r="M118" i="13"/>
  <c r="T120" i="13"/>
  <c r="U120" i="13" s="1"/>
  <c r="R121" i="13"/>
  <c r="Q122" i="13"/>
  <c r="P123" i="13"/>
  <c r="P284" i="13"/>
  <c r="P285" i="13"/>
  <c r="P286" i="13"/>
  <c r="P287" i="13"/>
  <c r="P288" i="13"/>
  <c r="P289" i="13"/>
  <c r="P290" i="13"/>
  <c r="P291" i="13"/>
  <c r="P292" i="13"/>
  <c r="P293" i="13"/>
  <c r="P294" i="13"/>
  <c r="P295" i="13"/>
  <c r="P296" i="13"/>
  <c r="P297" i="13"/>
  <c r="P298" i="13"/>
  <c r="P299" i="13"/>
  <c r="P300" i="13"/>
  <c r="P301" i="13"/>
  <c r="P302" i="13"/>
  <c r="P303" i="13"/>
  <c r="P304" i="13"/>
  <c r="P305" i="13"/>
  <c r="P306" i="13"/>
  <c r="P307" i="13"/>
  <c r="P308" i="13"/>
  <c r="P309" i="13"/>
  <c r="P310" i="13"/>
  <c r="P311" i="13"/>
  <c r="R312" i="13"/>
  <c r="P315" i="13"/>
  <c r="N317" i="13"/>
  <c r="M319" i="13"/>
  <c r="T320" i="13"/>
  <c r="U320" i="13" s="1"/>
  <c r="V267" i="15"/>
  <c r="O272" i="15"/>
  <c r="N286" i="15"/>
  <c r="Q297" i="15"/>
  <c r="Y58" i="16"/>
  <c r="Y181" i="16"/>
  <c r="E55" i="5"/>
  <c r="B21" i="25"/>
  <c r="B22" i="25" s="1"/>
  <c r="G49" i="10"/>
  <c r="R49" i="10"/>
  <c r="G50" i="10"/>
  <c r="R50" i="10"/>
  <c r="G51" i="10"/>
  <c r="R51" i="10"/>
  <c r="G52" i="10"/>
  <c r="R52" i="10"/>
  <c r="G53" i="10"/>
  <c r="R53" i="10"/>
  <c r="G54" i="10"/>
  <c r="R54" i="10"/>
  <c r="G55" i="10"/>
  <c r="R55" i="10"/>
  <c r="G56" i="10"/>
  <c r="R56" i="10"/>
  <c r="G57" i="10"/>
  <c r="R57" i="10"/>
  <c r="G58" i="10"/>
  <c r="R58" i="10"/>
  <c r="G59" i="10"/>
  <c r="R59" i="10"/>
  <c r="G60" i="10"/>
  <c r="R60" i="10"/>
  <c r="Q323" i="13"/>
  <c r="Q322" i="13"/>
  <c r="Q321" i="13"/>
  <c r="Q320" i="13"/>
  <c r="Q319" i="13"/>
  <c r="Q318" i="13"/>
  <c r="Q317" i="13"/>
  <c r="Q316" i="13"/>
  <c r="Q315" i="13"/>
  <c r="Q314" i="13"/>
  <c r="Q313" i="13"/>
  <c r="Q312" i="13"/>
  <c r="P323" i="13"/>
  <c r="O322" i="13"/>
  <c r="N321" i="13"/>
  <c r="M320" i="13"/>
  <c r="R316" i="13"/>
  <c r="O323" i="13"/>
  <c r="N322" i="13"/>
  <c r="M321" i="13"/>
  <c r="R317" i="13"/>
  <c r="P316" i="13"/>
  <c r="O315" i="13"/>
  <c r="N314" i="13"/>
  <c r="R321" i="13"/>
  <c r="P320" i="13"/>
  <c r="O319" i="13"/>
  <c r="N318" i="13"/>
  <c r="M317" i="13"/>
  <c r="R313" i="13"/>
  <c r="P312" i="13"/>
  <c r="Z8" i="13"/>
  <c r="T4" i="13"/>
  <c r="U4" i="13" s="1"/>
  <c r="T5" i="13"/>
  <c r="U5" i="13" s="1"/>
  <c r="T6" i="13"/>
  <c r="U6" i="13" s="1"/>
  <c r="T7" i="13"/>
  <c r="U7" i="13" s="1"/>
  <c r="T8" i="13"/>
  <c r="U8" i="13" s="1"/>
  <c r="B18" i="13"/>
  <c r="B22" i="13"/>
  <c r="B26" i="13"/>
  <c r="T17" i="13"/>
  <c r="U17" i="13" s="1"/>
  <c r="T21" i="13"/>
  <c r="U21" i="13" s="1"/>
  <c r="T42" i="13"/>
  <c r="U42" i="13" s="1"/>
  <c r="T45" i="13"/>
  <c r="U45" i="13" s="1"/>
  <c r="T53" i="13"/>
  <c r="U53" i="13" s="1"/>
  <c r="T61" i="13"/>
  <c r="U61" i="13" s="1"/>
  <c r="T69" i="13"/>
  <c r="U69" i="13" s="1"/>
  <c r="T77" i="13"/>
  <c r="U77" i="13" s="1"/>
  <c r="N110" i="13"/>
  <c r="M111" i="13"/>
  <c r="T113" i="13"/>
  <c r="U113" i="13" s="1"/>
  <c r="R114" i="13"/>
  <c r="Q115" i="13"/>
  <c r="N118" i="13"/>
  <c r="M119" i="13"/>
  <c r="T121" i="13"/>
  <c r="U121" i="13" s="1"/>
  <c r="R122" i="13"/>
  <c r="Q123" i="13"/>
  <c r="Q284" i="13"/>
  <c r="Q285" i="13"/>
  <c r="Q286" i="13"/>
  <c r="Q287" i="13"/>
  <c r="Q288" i="13"/>
  <c r="Q289" i="13"/>
  <c r="Q290" i="13"/>
  <c r="Q291" i="13"/>
  <c r="Q292" i="13"/>
  <c r="Q293" i="13"/>
  <c r="Q294" i="13"/>
  <c r="Q295" i="13"/>
  <c r="Q296" i="13"/>
  <c r="Q297" i="13"/>
  <c r="Q298" i="13"/>
  <c r="Q299" i="13"/>
  <c r="Q300" i="13"/>
  <c r="Q301" i="13"/>
  <c r="Q302" i="13"/>
  <c r="Q303" i="13"/>
  <c r="Q304" i="13"/>
  <c r="Q305" i="13"/>
  <c r="Q306" i="13"/>
  <c r="Q307" i="13"/>
  <c r="Q308" i="13"/>
  <c r="Q309" i="13"/>
  <c r="Q310" i="13"/>
  <c r="Q311" i="13"/>
  <c r="M314" i="13"/>
  <c r="R315" i="13"/>
  <c r="O317" i="13"/>
  <c r="N319" i="13"/>
  <c r="Y221" i="16"/>
  <c r="T258" i="15"/>
  <c r="O264" i="15"/>
  <c r="N275" i="15"/>
  <c r="P278" i="15"/>
  <c r="O278" i="15"/>
  <c r="T278" i="15"/>
  <c r="S278" i="15"/>
  <c r="R278" i="15"/>
  <c r="Q278" i="15"/>
  <c r="N278" i="15"/>
  <c r="V278" i="15"/>
  <c r="Q284" i="15"/>
  <c r="P292" i="15"/>
  <c r="D29" i="10"/>
  <c r="D31" i="10"/>
  <c r="D33" i="10"/>
  <c r="D35" i="10"/>
  <c r="D37" i="10"/>
  <c r="D39" i="10"/>
  <c r="H49" i="10"/>
  <c r="S49" i="10"/>
  <c r="H50" i="10"/>
  <c r="S50" i="10"/>
  <c r="H51" i="10"/>
  <c r="S51" i="10"/>
  <c r="H52" i="10"/>
  <c r="S52" i="10"/>
  <c r="H53" i="10"/>
  <c r="S53" i="10"/>
  <c r="H54" i="10"/>
  <c r="S54" i="10"/>
  <c r="H55" i="10"/>
  <c r="S55" i="10"/>
  <c r="H56" i="10"/>
  <c r="S56" i="10"/>
  <c r="H57" i="10"/>
  <c r="S57" i="10"/>
  <c r="H58" i="10"/>
  <c r="S58" i="10"/>
  <c r="H59" i="10"/>
  <c r="S59" i="10"/>
  <c r="H60" i="10"/>
  <c r="S60" i="10"/>
  <c r="T317" i="13"/>
  <c r="U317" i="13" s="1"/>
  <c r="T318" i="13"/>
  <c r="U318" i="13" s="1"/>
  <c r="T322" i="13"/>
  <c r="U322" i="13" s="1"/>
  <c r="T314" i="13"/>
  <c r="U314" i="13" s="1"/>
  <c r="Z9" i="13"/>
  <c r="C18" i="13"/>
  <c r="C22" i="13"/>
  <c r="C26" i="13"/>
  <c r="T26" i="13"/>
  <c r="U26" i="13" s="1"/>
  <c r="T50" i="13"/>
  <c r="U50" i="13" s="1"/>
  <c r="T58" i="13"/>
  <c r="U58" i="13" s="1"/>
  <c r="T66" i="13"/>
  <c r="U66" i="13" s="1"/>
  <c r="T74" i="13"/>
  <c r="U74" i="13" s="1"/>
  <c r="O110" i="13"/>
  <c r="N111" i="13"/>
  <c r="M112" i="13"/>
  <c r="T114" i="13"/>
  <c r="U114" i="13" s="1"/>
  <c r="R115" i="13"/>
  <c r="O118" i="13"/>
  <c r="N119" i="13"/>
  <c r="M120" i="13"/>
  <c r="T122" i="13"/>
  <c r="U122" i="13" s="1"/>
  <c r="R123" i="13"/>
  <c r="R284" i="13"/>
  <c r="R285" i="13"/>
  <c r="R286" i="13"/>
  <c r="R287" i="13"/>
  <c r="R288" i="13"/>
  <c r="R289" i="13"/>
  <c r="R290" i="13"/>
  <c r="R291" i="13"/>
  <c r="R292" i="13"/>
  <c r="R293" i="13"/>
  <c r="R294" i="13"/>
  <c r="R295" i="13"/>
  <c r="R296" i="13"/>
  <c r="R297" i="13"/>
  <c r="R298" i="13"/>
  <c r="R299" i="13"/>
  <c r="R300" i="13"/>
  <c r="R301" i="13"/>
  <c r="R302" i="13"/>
  <c r="R303" i="13"/>
  <c r="R304" i="13"/>
  <c r="R305" i="13"/>
  <c r="R306" i="13"/>
  <c r="R307" i="13"/>
  <c r="R308" i="13"/>
  <c r="R309" i="13"/>
  <c r="R310" i="13"/>
  <c r="R311" i="13"/>
  <c r="O314" i="13"/>
  <c r="T315" i="13"/>
  <c r="U315" i="13" s="1"/>
  <c r="P317" i="13"/>
  <c r="P319" i="13"/>
  <c r="O321" i="13"/>
  <c r="M323" i="13"/>
  <c r="F49" i="20"/>
  <c r="G49" i="20" s="1"/>
  <c r="F47" i="20"/>
  <c r="G47" i="20" s="1"/>
  <c r="F33" i="20"/>
  <c r="G33" i="20" s="1"/>
  <c r="F24" i="20"/>
  <c r="G24" i="20" s="1"/>
  <c r="F21" i="20"/>
  <c r="G21" i="20" s="1"/>
  <c r="F18" i="20"/>
  <c r="G18" i="20" s="1"/>
  <c r="F46" i="20"/>
  <c r="G46" i="20" s="1"/>
  <c r="F42" i="20"/>
  <c r="G42" i="20" s="1"/>
  <c r="F40" i="20"/>
  <c r="G40" i="20" s="1"/>
  <c r="F39" i="20"/>
  <c r="G39" i="20" s="1"/>
  <c r="F38" i="20"/>
  <c r="G38" i="20" s="1"/>
  <c r="F35" i="20"/>
  <c r="G35" i="20" s="1"/>
  <c r="F32" i="20"/>
  <c r="G32" i="20" s="1"/>
  <c r="F28" i="20"/>
  <c r="G28" i="20" s="1"/>
  <c r="F19" i="20"/>
  <c r="G19" i="20" s="1"/>
  <c r="F14" i="20"/>
  <c r="G14" i="20" s="1"/>
  <c r="F25" i="20"/>
  <c r="G25" i="20" s="1"/>
  <c r="F26" i="20"/>
  <c r="G26" i="20" s="1"/>
  <c r="F12" i="20"/>
  <c r="G12" i="20" s="1"/>
  <c r="F11" i="20"/>
  <c r="G11" i="20" s="1"/>
  <c r="G248" i="16"/>
  <c r="G246" i="16"/>
  <c r="G244" i="16"/>
  <c r="G236" i="16"/>
  <c r="G234" i="16"/>
  <c r="G232" i="16"/>
  <c r="G230" i="16"/>
  <c r="G228" i="16"/>
  <c r="G226" i="16"/>
  <c r="G206" i="16"/>
  <c r="G204" i="16"/>
  <c r="G202" i="16"/>
  <c r="G194" i="16"/>
  <c r="G192" i="16"/>
  <c r="G190" i="16"/>
  <c r="G188" i="16"/>
  <c r="G186" i="16"/>
  <c r="G184" i="16"/>
  <c r="G182" i="16"/>
  <c r="G180" i="16"/>
  <c r="G178" i="16"/>
  <c r="F10" i="20"/>
  <c r="G10" i="20" s="1"/>
  <c r="G245" i="16"/>
  <c r="G233" i="16"/>
  <c r="G229" i="16"/>
  <c r="G225" i="16"/>
  <c r="G205" i="16"/>
  <c r="G201" i="16"/>
  <c r="G193" i="16"/>
  <c r="G179" i="16"/>
  <c r="G159" i="16"/>
  <c r="G151" i="16"/>
  <c r="G121" i="16"/>
  <c r="G108" i="16"/>
  <c r="G105" i="16"/>
  <c r="G76" i="16"/>
  <c r="G181" i="16"/>
  <c r="G150" i="16"/>
  <c r="G146" i="16"/>
  <c r="G143" i="16"/>
  <c r="G98" i="16"/>
  <c r="G95" i="16"/>
  <c r="G79" i="16"/>
  <c r="G66" i="16"/>
  <c r="G63" i="16"/>
  <c r="G34" i="16"/>
  <c r="G183" i="16"/>
  <c r="G149" i="16"/>
  <c r="G120" i="16"/>
  <c r="G117" i="16"/>
  <c r="G104" i="16"/>
  <c r="G101" i="16"/>
  <c r="G37" i="16"/>
  <c r="G24" i="16"/>
  <c r="G185" i="16"/>
  <c r="G164" i="16"/>
  <c r="G142" i="16"/>
  <c r="G110" i="16"/>
  <c r="G161" i="16"/>
  <c r="G144" i="16"/>
  <c r="G141" i="16"/>
  <c r="G109" i="16"/>
  <c r="G100" i="16"/>
  <c r="G99" i="16"/>
  <c r="G78" i="16"/>
  <c r="G77" i="16"/>
  <c r="G21" i="16"/>
  <c r="G9" i="16"/>
  <c r="G177" i="16"/>
  <c r="G152" i="16"/>
  <c r="G147" i="16"/>
  <c r="G118" i="16"/>
  <c r="G106" i="16"/>
  <c r="G62" i="16"/>
  <c r="G59" i="16"/>
  <c r="G58" i="16"/>
  <c r="G26" i="16"/>
  <c r="G14" i="16"/>
  <c r="G247" i="16"/>
  <c r="G231" i="16"/>
  <c r="G187" i="16"/>
  <c r="G148" i="16"/>
  <c r="G145" i="16"/>
  <c r="G107" i="16"/>
  <c r="G68" i="16"/>
  <c r="G65" i="16"/>
  <c r="G64" i="16"/>
  <c r="G61" i="16"/>
  <c r="G60" i="16"/>
  <c r="G57" i="16"/>
  <c r="G189" i="16"/>
  <c r="G162" i="16"/>
  <c r="G122" i="16"/>
  <c r="G119" i="16"/>
  <c r="G96" i="16"/>
  <c r="G67" i="16"/>
  <c r="G25" i="16"/>
  <c r="G191" i="16"/>
  <c r="G102" i="16"/>
  <c r="G97" i="16"/>
  <c r="G80" i="16"/>
  <c r="G75" i="16"/>
  <c r="G16" i="16"/>
  <c r="G13" i="16"/>
  <c r="G227" i="16"/>
  <c r="G20" i="16"/>
  <c r="G17" i="16"/>
  <c r="G11" i="16"/>
  <c r="G163" i="16"/>
  <c r="G23" i="16"/>
  <c r="G36" i="16"/>
  <c r="G203" i="16"/>
  <c r="G38" i="16"/>
  <c r="G18" i="16"/>
  <c r="G15" i="16"/>
  <c r="G12" i="16"/>
  <c r="G94" i="16"/>
  <c r="G103" i="16"/>
  <c r="G19" i="16"/>
  <c r="G10" i="16"/>
  <c r="G22" i="16"/>
  <c r="G93" i="16"/>
  <c r="G35" i="16"/>
  <c r="G243" i="16"/>
  <c r="G33" i="16"/>
  <c r="R262" i="15"/>
  <c r="O265" i="15"/>
  <c r="W265" i="15"/>
  <c r="N265" i="15"/>
  <c r="V265" i="15"/>
  <c r="T265" i="15"/>
  <c r="S265" i="15"/>
  <c r="R265" i="15"/>
  <c r="Q265" i="15"/>
  <c r="P265" i="15"/>
  <c r="O275" i="15"/>
  <c r="S280" i="15"/>
  <c r="Q282" i="15"/>
  <c r="E29" i="10"/>
  <c r="E31" i="10"/>
  <c r="E33" i="10"/>
  <c r="E35" i="10"/>
  <c r="E37" i="10"/>
  <c r="E39" i="10"/>
  <c r="I49" i="10"/>
  <c r="T49" i="10"/>
  <c r="I50" i="10"/>
  <c r="T50" i="10"/>
  <c r="I51" i="10"/>
  <c r="T51" i="10"/>
  <c r="I52" i="10"/>
  <c r="T52" i="10"/>
  <c r="I53" i="10"/>
  <c r="T53" i="10"/>
  <c r="I54" i="10"/>
  <c r="T54" i="10"/>
  <c r="I55" i="10"/>
  <c r="T55" i="10"/>
  <c r="I56" i="10"/>
  <c r="T56" i="10"/>
  <c r="I57" i="10"/>
  <c r="T57" i="10"/>
  <c r="I58" i="10"/>
  <c r="T58" i="10"/>
  <c r="I59" i="10"/>
  <c r="T59" i="10"/>
  <c r="I60" i="10"/>
  <c r="T60" i="10"/>
  <c r="Z3" i="13"/>
  <c r="Z10" i="13"/>
  <c r="T14" i="13"/>
  <c r="U14" i="13" s="1"/>
  <c r="T16" i="13"/>
  <c r="U16" i="13" s="1"/>
  <c r="B19" i="13"/>
  <c r="B23" i="13"/>
  <c r="B27" i="13"/>
  <c r="T20" i="13"/>
  <c r="U20" i="13" s="1"/>
  <c r="T23" i="13"/>
  <c r="U23" i="13" s="1"/>
  <c r="T41" i="13"/>
  <c r="U41" i="13" s="1"/>
  <c r="T47" i="13"/>
  <c r="U47" i="13" s="1"/>
  <c r="T55" i="13"/>
  <c r="U55" i="13" s="1"/>
  <c r="T63" i="13"/>
  <c r="U63" i="13" s="1"/>
  <c r="T71" i="13"/>
  <c r="U71" i="13" s="1"/>
  <c r="T79" i="13"/>
  <c r="U79" i="13" s="1"/>
  <c r="T81" i="13"/>
  <c r="U81" i="13" s="1"/>
  <c r="T83" i="13"/>
  <c r="U83" i="13" s="1"/>
  <c r="T85" i="13"/>
  <c r="U85" i="13" s="1"/>
  <c r="T87" i="13"/>
  <c r="U87" i="13" s="1"/>
  <c r="T89" i="13"/>
  <c r="U89" i="13" s="1"/>
  <c r="T91" i="13"/>
  <c r="U91" i="13" s="1"/>
  <c r="T93" i="13"/>
  <c r="U93" i="13" s="1"/>
  <c r="T95" i="13"/>
  <c r="U95" i="13" s="1"/>
  <c r="T97" i="13"/>
  <c r="U97" i="13" s="1"/>
  <c r="T99" i="13"/>
  <c r="U99" i="13" s="1"/>
  <c r="T101" i="13"/>
  <c r="U101" i="13" s="1"/>
  <c r="T103" i="13"/>
  <c r="U103" i="13" s="1"/>
  <c r="T105" i="13"/>
  <c r="U105" i="13" s="1"/>
  <c r="T107" i="13"/>
  <c r="U107" i="13" s="1"/>
  <c r="P110" i="13"/>
  <c r="M113" i="13"/>
  <c r="T115" i="13"/>
  <c r="U115" i="13" s="1"/>
  <c r="P118" i="13"/>
  <c r="M121" i="13"/>
  <c r="T123" i="13"/>
  <c r="U123" i="13" s="1"/>
  <c r="T284" i="13"/>
  <c r="U284" i="13" s="1"/>
  <c r="T285" i="13"/>
  <c r="U285" i="13" s="1"/>
  <c r="T286" i="13"/>
  <c r="U286" i="13" s="1"/>
  <c r="T287" i="13"/>
  <c r="U287" i="13" s="1"/>
  <c r="T288" i="13"/>
  <c r="U288" i="13" s="1"/>
  <c r="T289" i="13"/>
  <c r="U289" i="13" s="1"/>
  <c r="T290" i="13"/>
  <c r="U290" i="13" s="1"/>
  <c r="T291" i="13"/>
  <c r="U291" i="13" s="1"/>
  <c r="T292" i="13"/>
  <c r="U292" i="13" s="1"/>
  <c r="T293" i="13"/>
  <c r="U293" i="13" s="1"/>
  <c r="T294" i="13"/>
  <c r="U294" i="13" s="1"/>
  <c r="T295" i="13"/>
  <c r="U295" i="13" s="1"/>
  <c r="T296" i="13"/>
  <c r="U296" i="13" s="1"/>
  <c r="T297" i="13"/>
  <c r="U297" i="13" s="1"/>
  <c r="T298" i="13"/>
  <c r="U298" i="13" s="1"/>
  <c r="T299" i="13"/>
  <c r="U299" i="13" s="1"/>
  <c r="T300" i="13"/>
  <c r="U300" i="13" s="1"/>
  <c r="T301" i="13"/>
  <c r="U301" i="13" s="1"/>
  <c r="T302" i="13"/>
  <c r="U302" i="13" s="1"/>
  <c r="T303" i="13"/>
  <c r="U303" i="13" s="1"/>
  <c r="T304" i="13"/>
  <c r="U304" i="13" s="1"/>
  <c r="T305" i="13"/>
  <c r="U305" i="13" s="1"/>
  <c r="T306" i="13"/>
  <c r="U306" i="13" s="1"/>
  <c r="T307" i="13"/>
  <c r="U307" i="13" s="1"/>
  <c r="T308" i="13"/>
  <c r="U308" i="13" s="1"/>
  <c r="T309" i="13"/>
  <c r="U309" i="13" s="1"/>
  <c r="T310" i="13"/>
  <c r="U310" i="13" s="1"/>
  <c r="T311" i="13"/>
  <c r="U311" i="13" s="1"/>
  <c r="M313" i="13"/>
  <c r="P314" i="13"/>
  <c r="M316" i="13"/>
  <c r="R319" i="13"/>
  <c r="P321" i="13"/>
  <c r="N323" i="13"/>
  <c r="Q260" i="15"/>
  <c r="R273" i="15"/>
  <c r="W278" i="15"/>
  <c r="R282" i="15"/>
  <c r="N287" i="15"/>
  <c r="Q290" i="15"/>
  <c r="W290" i="15"/>
  <c r="V290" i="15"/>
  <c r="R290" i="15"/>
  <c r="P290" i="15"/>
  <c r="O290" i="15"/>
  <c r="U49" i="10"/>
  <c r="J50" i="10"/>
  <c r="U50" i="10"/>
  <c r="J51" i="10"/>
  <c r="J52" i="10"/>
  <c r="U52" i="10"/>
  <c r="J53" i="10"/>
  <c r="U53" i="10"/>
  <c r="J54" i="10"/>
  <c r="U54" i="10"/>
  <c r="J55" i="10"/>
  <c r="U55" i="10"/>
  <c r="J56" i="10"/>
  <c r="U56" i="10"/>
  <c r="J57" i="10"/>
  <c r="U57" i="10"/>
  <c r="J58" i="10"/>
  <c r="U58" i="10"/>
  <c r="J59" i="10"/>
  <c r="U59" i="10"/>
  <c r="J60" i="10"/>
  <c r="T13" i="13"/>
  <c r="U13" i="13" s="1"/>
  <c r="C19" i="13"/>
  <c r="C23" i="13"/>
  <c r="T28" i="13"/>
  <c r="U28" i="13" s="1"/>
  <c r="T30" i="13"/>
  <c r="U30" i="13" s="1"/>
  <c r="T32" i="13"/>
  <c r="U32" i="13" s="1"/>
  <c r="T34" i="13"/>
  <c r="U34" i="13" s="1"/>
  <c r="T36" i="13"/>
  <c r="U36" i="13" s="1"/>
  <c r="T38" i="13"/>
  <c r="U38" i="13" s="1"/>
  <c r="T44" i="13"/>
  <c r="U44" i="13" s="1"/>
  <c r="T52" i="13"/>
  <c r="U52" i="13" s="1"/>
  <c r="T60" i="13"/>
  <c r="U60" i="13" s="1"/>
  <c r="T68" i="13"/>
  <c r="U68" i="13" s="1"/>
  <c r="T76" i="13"/>
  <c r="U76" i="13" s="1"/>
  <c r="P111" i="13"/>
  <c r="O112" i="13"/>
  <c r="M114" i="13"/>
  <c r="T116" i="13"/>
  <c r="U116" i="13" s="1"/>
  <c r="P119" i="13"/>
  <c r="O120" i="13"/>
  <c r="M122" i="13"/>
  <c r="N313" i="13"/>
  <c r="R314" i="13"/>
  <c r="N316" i="13"/>
  <c r="M318" i="13"/>
  <c r="T319" i="13"/>
  <c r="U319" i="13" s="1"/>
  <c r="T321" i="13"/>
  <c r="U321" i="13" s="1"/>
  <c r="R323" i="13"/>
  <c r="R260" i="15"/>
  <c r="Q271" i="15"/>
  <c r="O285" i="15"/>
  <c r="N290" i="15"/>
  <c r="G235" i="16"/>
  <c r="S260" i="15"/>
  <c r="T262" i="15"/>
  <c r="P263" i="15"/>
  <c r="P272" i="15"/>
  <c r="W276" i="15"/>
  <c r="N276" i="15"/>
  <c r="V276" i="15"/>
  <c r="T276" i="15"/>
  <c r="S276" i="15"/>
  <c r="R276" i="15"/>
  <c r="Q276" i="15"/>
  <c r="P276" i="15"/>
  <c r="S281" i="15"/>
  <c r="O284" i="15"/>
  <c r="R288" i="15"/>
  <c r="Q288" i="15"/>
  <c r="O288" i="15"/>
  <c r="V288" i="15"/>
  <c r="T288" i="15"/>
  <c r="S288" i="15"/>
  <c r="P288" i="15"/>
  <c r="N288" i="15"/>
  <c r="Q291" i="15"/>
  <c r="P291" i="15"/>
  <c r="W291" i="15"/>
  <c r="N291" i="15"/>
  <c r="V291" i="15"/>
  <c r="T291" i="15"/>
  <c r="S291" i="15"/>
  <c r="R291" i="15"/>
  <c r="R294" i="15"/>
  <c r="R297" i="15"/>
  <c r="Y61" i="16"/>
  <c r="X186" i="16"/>
  <c r="S259" i="15"/>
  <c r="Q262" i="15"/>
  <c r="T266" i="15"/>
  <c r="W268" i="15"/>
  <c r="N268" i="15"/>
  <c r="V268" i="15"/>
  <c r="R268" i="15"/>
  <c r="Q268" i="15"/>
  <c r="P268" i="15"/>
  <c r="O268" i="15"/>
  <c r="P271" i="15"/>
  <c r="S272" i="15"/>
  <c r="N274" i="15"/>
  <c r="T281" i="15"/>
  <c r="P284" i="15"/>
  <c r="N293" i="15"/>
  <c r="N296" i="15"/>
  <c r="X8" i="16"/>
  <c r="Y133" i="16"/>
  <c r="Y169" i="16"/>
  <c r="X20" i="16"/>
  <c r="O258" i="15"/>
  <c r="P261" i="15"/>
  <c r="S262" i="15"/>
  <c r="S268" i="15"/>
  <c r="R271" i="15"/>
  <c r="P274" i="15"/>
  <c r="S277" i="15"/>
  <c r="R277" i="15"/>
  <c r="V277" i="15"/>
  <c r="T277" i="15"/>
  <c r="Q277" i="15"/>
  <c r="P277" i="15"/>
  <c r="O277" i="15"/>
  <c r="T279" i="15"/>
  <c r="T280" i="15"/>
  <c r="O283" i="15"/>
  <c r="Q286" i="15"/>
  <c r="O289" i="15"/>
  <c r="T292" i="15"/>
  <c r="Q293" i="15"/>
  <c r="N295" i="15"/>
  <c r="S296" i="15"/>
  <c r="Y8" i="16"/>
  <c r="Y64" i="16"/>
  <c r="X150" i="16"/>
  <c r="S287" i="15"/>
  <c r="N283" i="15"/>
  <c r="O282" i="15"/>
  <c r="Q281" i="15"/>
  <c r="P280" i="15"/>
  <c r="Q279" i="15"/>
  <c r="N272" i="15"/>
  <c r="O271" i="15"/>
  <c r="R270" i="15"/>
  <c r="N262" i="15"/>
  <c r="O261" i="15"/>
  <c r="P260" i="15"/>
  <c r="R259" i="15"/>
  <c r="Q258" i="15"/>
  <c r="R258" i="15"/>
  <c r="Q261" i="15"/>
  <c r="N264" i="15"/>
  <c r="T268" i="15"/>
  <c r="S270" i="15"/>
  <c r="P273" i="15"/>
  <c r="V275" i="15"/>
  <c r="R283" i="15"/>
  <c r="T287" i="15"/>
  <c r="V289" i="15"/>
  <c r="S289" i="15"/>
  <c r="R289" i="15"/>
  <c r="Q289" i="15"/>
  <c r="P289" i="15"/>
  <c r="O295" i="15"/>
  <c r="Y66" i="16"/>
  <c r="Y79" i="16"/>
  <c r="T261" i="15"/>
  <c r="Q267" i="15"/>
  <c r="P267" i="15"/>
  <c r="T267" i="15"/>
  <c r="S267" i="15"/>
  <c r="R267" i="15"/>
  <c r="O267" i="15"/>
  <c r="N267" i="15"/>
  <c r="S269" i="15"/>
  <c r="R269" i="15"/>
  <c r="Q269" i="15"/>
  <c r="P269" i="15"/>
  <c r="O269" i="15"/>
  <c r="N269" i="15"/>
  <c r="T270" i="15"/>
  <c r="Q273" i="15"/>
  <c r="N277" i="15"/>
  <c r="R279" i="15"/>
  <c r="P282" i="15"/>
  <c r="S283" i="15"/>
  <c r="N285" i="15"/>
  <c r="T290" i="15"/>
  <c r="O292" i="15"/>
  <c r="P295" i="15"/>
  <c r="X3" i="16"/>
  <c r="Y229" i="16"/>
  <c r="X56" i="16"/>
  <c r="Y90" i="16"/>
  <c r="Y106" i="16"/>
  <c r="Y110" i="16"/>
  <c r="X130" i="16"/>
  <c r="Y138" i="16"/>
  <c r="Y237" i="16"/>
  <c r="R62" i="19"/>
  <c r="R58" i="19"/>
  <c r="R35" i="19"/>
  <c r="R33" i="19"/>
  <c r="R66" i="19"/>
  <c r="R53" i="19"/>
  <c r="R36" i="19"/>
  <c r="R74" i="19"/>
  <c r="R51" i="19"/>
  <c r="R64" i="19"/>
  <c r="R50" i="19"/>
  <c r="R34" i="19"/>
  <c r="R60" i="19"/>
  <c r="X253" i="16"/>
  <c r="X251" i="16"/>
  <c r="X249" i="16"/>
  <c r="X247" i="16"/>
  <c r="X245" i="16"/>
  <c r="X243" i="16"/>
  <c r="X241" i="16"/>
  <c r="X239" i="16"/>
  <c r="X237" i="16"/>
  <c r="X235" i="16"/>
  <c r="X233" i="16"/>
  <c r="X231" i="16"/>
  <c r="X229" i="16"/>
  <c r="X227" i="16"/>
  <c r="X225" i="16"/>
  <c r="X223" i="16"/>
  <c r="X221" i="16"/>
  <c r="X219" i="16"/>
  <c r="X217" i="16"/>
  <c r="X215" i="16"/>
  <c r="X213" i="16"/>
  <c r="X211" i="16"/>
  <c r="X209" i="16"/>
  <c r="X207" i="16"/>
  <c r="X205" i="16"/>
  <c r="X203" i="16"/>
  <c r="X201" i="16"/>
  <c r="X199" i="16"/>
  <c r="X197" i="16"/>
  <c r="X195" i="16"/>
  <c r="X193" i="16"/>
  <c r="X191" i="16"/>
  <c r="X189" i="16"/>
  <c r="X187" i="16"/>
  <c r="X185" i="16"/>
  <c r="X183" i="16"/>
  <c r="X181" i="16"/>
  <c r="X179" i="16"/>
  <c r="X177" i="16"/>
  <c r="X175" i="16"/>
  <c r="X173" i="16"/>
  <c r="X171" i="16"/>
  <c r="X169" i="16"/>
  <c r="X167" i="16"/>
  <c r="X165" i="16"/>
  <c r="X163" i="16"/>
  <c r="X161" i="16"/>
  <c r="X159" i="16"/>
  <c r="X157" i="16"/>
  <c r="X155" i="16"/>
  <c r="X153" i="16"/>
  <c r="X151" i="16"/>
  <c r="X149" i="16"/>
  <c r="X147" i="16"/>
  <c r="X145" i="16"/>
  <c r="X143" i="16"/>
  <c r="X141" i="16"/>
  <c r="X139" i="16"/>
  <c r="X137" i="16"/>
  <c r="X135" i="16"/>
  <c r="X133" i="16"/>
  <c r="X131" i="16"/>
  <c r="X129" i="16"/>
  <c r="X127" i="16"/>
  <c r="X125" i="16"/>
  <c r="X123" i="16"/>
  <c r="X121" i="16"/>
  <c r="X119" i="16"/>
  <c r="X117" i="16"/>
  <c r="X115" i="16"/>
  <c r="X113" i="16"/>
  <c r="X111" i="16"/>
  <c r="X109" i="16"/>
  <c r="X107" i="16"/>
  <c r="X105" i="16"/>
  <c r="X103" i="16"/>
  <c r="X101" i="16"/>
  <c r="X99" i="16"/>
  <c r="X97" i="16"/>
  <c r="X95" i="16"/>
  <c r="X93" i="16"/>
  <c r="X91" i="16"/>
  <c r="X89" i="16"/>
  <c r="X87" i="16"/>
  <c r="X85" i="16"/>
  <c r="X83" i="16"/>
  <c r="X81" i="16"/>
  <c r="X79" i="16"/>
  <c r="X77" i="16"/>
  <c r="X75" i="16"/>
  <c r="X73" i="16"/>
  <c r="X71" i="16"/>
  <c r="X69" i="16"/>
  <c r="X67" i="16"/>
  <c r="X65" i="16"/>
  <c r="X63" i="16"/>
  <c r="X61" i="16"/>
  <c r="X59" i="16"/>
  <c r="X57" i="16"/>
  <c r="X55" i="16"/>
  <c r="X53" i="16"/>
  <c r="X51" i="16"/>
  <c r="X49" i="16"/>
  <c r="X47" i="16"/>
  <c r="X45" i="16"/>
  <c r="X43" i="16"/>
  <c r="X41" i="16"/>
  <c r="X39" i="16"/>
  <c r="X37" i="16"/>
  <c r="X35" i="16"/>
  <c r="X33" i="16"/>
  <c r="X31" i="16"/>
  <c r="X29" i="16"/>
  <c r="X27" i="16"/>
  <c r="X25" i="16"/>
  <c r="X23" i="16"/>
  <c r="X21" i="16"/>
  <c r="X19" i="16"/>
  <c r="X17" i="16"/>
  <c r="X15" i="16"/>
  <c r="X13" i="16"/>
  <c r="Y11" i="16"/>
  <c r="X4" i="16"/>
  <c r="Y254" i="16"/>
  <c r="Y252" i="16"/>
  <c r="Y250" i="16"/>
  <c r="Y248" i="16"/>
  <c r="Y246" i="16"/>
  <c r="Y244" i="16"/>
  <c r="Y242" i="16"/>
  <c r="Y240" i="16"/>
  <c r="Y238" i="16"/>
  <c r="Y236" i="16"/>
  <c r="Y234" i="16"/>
  <c r="Y232" i="16"/>
  <c r="Y230" i="16"/>
  <c r="Y228" i="16"/>
  <c r="Y226" i="16"/>
  <c r="Y224" i="16"/>
  <c r="Y222" i="16"/>
  <c r="Y220" i="16"/>
  <c r="Y218" i="16"/>
  <c r="Y216" i="16"/>
  <c r="Y214" i="16"/>
  <c r="Y212" i="16"/>
  <c r="Y210" i="16"/>
  <c r="Y208" i="16"/>
  <c r="Y206" i="16"/>
  <c r="Y204" i="16"/>
  <c r="Y202" i="16"/>
  <c r="Y200" i="16"/>
  <c r="Y198" i="16"/>
  <c r="Y196" i="16"/>
  <c r="Y194" i="16"/>
  <c r="Y192" i="16"/>
  <c r="Y190" i="16"/>
  <c r="Y188" i="16"/>
  <c r="Y186" i="16"/>
  <c r="Y184" i="16"/>
  <c r="Y182" i="16"/>
  <c r="Y180" i="16"/>
  <c r="Y178" i="16"/>
  <c r="Y176" i="16"/>
  <c r="Y174" i="16"/>
  <c r="Y172" i="16"/>
  <c r="Y170" i="16"/>
  <c r="Y168" i="16"/>
  <c r="Y166" i="16"/>
  <c r="Y164" i="16"/>
  <c r="Y162" i="16"/>
  <c r="Y160" i="16"/>
  <c r="Y158" i="16"/>
  <c r="Y156" i="16"/>
  <c r="Y154" i="16"/>
  <c r="Y152" i="16"/>
  <c r="Y150" i="16"/>
  <c r="X188" i="16"/>
  <c r="Y187" i="16"/>
  <c r="X172" i="16"/>
  <c r="Y171" i="16"/>
  <c r="X162" i="16"/>
  <c r="X154" i="16"/>
  <c r="Y144" i="16"/>
  <c r="Y141" i="16"/>
  <c r="X138" i="16"/>
  <c r="Y128" i="16"/>
  <c r="Y125" i="16"/>
  <c r="X122" i="16"/>
  <c r="Y112" i="16"/>
  <c r="Y109" i="16"/>
  <c r="X106" i="16"/>
  <c r="Y96" i="16"/>
  <c r="Y93" i="16"/>
  <c r="X90" i="16"/>
  <c r="Y80" i="16"/>
  <c r="Y77" i="16"/>
  <c r="X74" i="16"/>
  <c r="Y251" i="16"/>
  <c r="Y247" i="16"/>
  <c r="Y243" i="16"/>
  <c r="Y239" i="16"/>
  <c r="Y235" i="16"/>
  <c r="Y231" i="16"/>
  <c r="Y227" i="16"/>
  <c r="Y223" i="16"/>
  <c r="Y219" i="16"/>
  <c r="Y215" i="16"/>
  <c r="Y211" i="16"/>
  <c r="Y207" i="16"/>
  <c r="Y203" i="16"/>
  <c r="Y199" i="16"/>
  <c r="Y195" i="16"/>
  <c r="X190" i="16"/>
  <c r="Y189" i="16"/>
  <c r="X174" i="16"/>
  <c r="Y173" i="16"/>
  <c r="Y161" i="16"/>
  <c r="Y153" i="16"/>
  <c r="Y147" i="16"/>
  <c r="X144" i="16"/>
  <c r="Y134" i="16"/>
  <c r="Y131" i="16"/>
  <c r="X128" i="16"/>
  <c r="Y118" i="16"/>
  <c r="Y115" i="16"/>
  <c r="X112" i="16"/>
  <c r="Y102" i="16"/>
  <c r="Y99" i="16"/>
  <c r="X96" i="16"/>
  <c r="Y86" i="16"/>
  <c r="Y83" i="16"/>
  <c r="X80" i="16"/>
  <c r="Y70" i="16"/>
  <c r="Y67" i="16"/>
  <c r="X64" i="16"/>
  <c r="Y54" i="16"/>
  <c r="Y51" i="16"/>
  <c r="X48" i="16"/>
  <c r="Y38" i="16"/>
  <c r="Y35" i="16"/>
  <c r="X32" i="16"/>
  <c r="X252" i="16"/>
  <c r="X248" i="16"/>
  <c r="X244" i="16"/>
  <c r="X240" i="16"/>
  <c r="X236" i="16"/>
  <c r="X232" i="16"/>
  <c r="X228" i="16"/>
  <c r="X224" i="16"/>
  <c r="X220" i="16"/>
  <c r="X216" i="16"/>
  <c r="X212" i="16"/>
  <c r="X208" i="16"/>
  <c r="X204" i="16"/>
  <c r="X200" i="16"/>
  <c r="X196" i="16"/>
  <c r="X192" i="16"/>
  <c r="Y191" i="16"/>
  <c r="X176" i="16"/>
  <c r="Y175" i="16"/>
  <c r="X160" i="16"/>
  <c r="X152" i="16"/>
  <c r="Y140" i="16"/>
  <c r="Y137" i="16"/>
  <c r="X134" i="16"/>
  <c r="Y124" i="16"/>
  <c r="Y121" i="16"/>
  <c r="X118" i="16"/>
  <c r="Y108" i="16"/>
  <c r="Y105" i="16"/>
  <c r="X102" i="16"/>
  <c r="Y92" i="16"/>
  <c r="Y89" i="16"/>
  <c r="X86" i="16"/>
  <c r="Y76" i="16"/>
  <c r="Y73" i="16"/>
  <c r="X70" i="16"/>
  <c r="Y60" i="16"/>
  <c r="Y57" i="16"/>
  <c r="X54" i="16"/>
  <c r="Y44" i="16"/>
  <c r="Y41" i="16"/>
  <c r="X38" i="16"/>
  <c r="Y28" i="16"/>
  <c r="Y25" i="16"/>
  <c r="X22" i="16"/>
  <c r="X178" i="16"/>
  <c r="Y177" i="16"/>
  <c r="Y159" i="16"/>
  <c r="Y151" i="16"/>
  <c r="Y146" i="16"/>
  <c r="Y143" i="16"/>
  <c r="X140" i="16"/>
  <c r="Y130" i="16"/>
  <c r="Y127" i="16"/>
  <c r="X124" i="16"/>
  <c r="Y114" i="16"/>
  <c r="Y111" i="16"/>
  <c r="X108" i="16"/>
  <c r="X250" i="16"/>
  <c r="X242" i="16"/>
  <c r="X234" i="16"/>
  <c r="X226" i="16"/>
  <c r="X218" i="16"/>
  <c r="X210" i="16"/>
  <c r="X202" i="16"/>
  <c r="X194" i="16"/>
  <c r="Y183" i="16"/>
  <c r="X168" i="16"/>
  <c r="X164" i="16"/>
  <c r="Y148" i="16"/>
  <c r="Y145" i="16"/>
  <c r="X142" i="16"/>
  <c r="Y116" i="16"/>
  <c r="Y113" i="16"/>
  <c r="X110" i="16"/>
  <c r="Y91" i="16"/>
  <c r="Y74" i="16"/>
  <c r="Y69" i="16"/>
  <c r="X68" i="16"/>
  <c r="Y23" i="16"/>
  <c r="Y12" i="16"/>
  <c r="X6" i="16"/>
  <c r="Y185" i="16"/>
  <c r="X170" i="16"/>
  <c r="Y155" i="16"/>
  <c r="X148" i="16"/>
  <c r="Y122" i="16"/>
  <c r="Y119" i="16"/>
  <c r="X116" i="16"/>
  <c r="Y98" i="16"/>
  <c r="Y97" i="16"/>
  <c r="X92" i="16"/>
  <c r="Y75" i="16"/>
  <c r="Y34" i="16"/>
  <c r="Y31" i="16"/>
  <c r="Y30" i="16"/>
  <c r="Y22" i="16"/>
  <c r="Y18" i="16"/>
  <c r="Y15" i="16"/>
  <c r="X12" i="16"/>
  <c r="Y9" i="16"/>
  <c r="X180" i="16"/>
  <c r="X158" i="16"/>
  <c r="X146" i="16"/>
  <c r="Y120" i="16"/>
  <c r="Y117" i="16"/>
  <c r="X114" i="16"/>
  <c r="Y104" i="16"/>
  <c r="Y103" i="16"/>
  <c r="X98" i="16"/>
  <c r="Y82" i="16"/>
  <c r="Y81" i="16"/>
  <c r="X76" i="16"/>
  <c r="Y249" i="16"/>
  <c r="Y241" i="16"/>
  <c r="Y233" i="16"/>
  <c r="Y225" i="16"/>
  <c r="Y217" i="16"/>
  <c r="Y209" i="16"/>
  <c r="Y201" i="16"/>
  <c r="Y193" i="16"/>
  <c r="X182" i="16"/>
  <c r="Y165" i="16"/>
  <c r="Y149" i="16"/>
  <c r="Y126" i="16"/>
  <c r="Y123" i="16"/>
  <c r="X120" i="16"/>
  <c r="X104" i="16"/>
  <c r="Y88" i="16"/>
  <c r="Y87" i="16"/>
  <c r="X82" i="16"/>
  <c r="Y50" i="16"/>
  <c r="Y47" i="16"/>
  <c r="Y46" i="16"/>
  <c r="X44" i="16"/>
  <c r="Y43" i="16"/>
  <c r="Y42" i="16"/>
  <c r="X40" i="16"/>
  <c r="Y39" i="16"/>
  <c r="X36" i="16"/>
  <c r="Y27" i="16"/>
  <c r="Y14" i="16"/>
  <c r="X7" i="16"/>
  <c r="X254" i="16"/>
  <c r="X246" i="16"/>
  <c r="X238" i="16"/>
  <c r="X230" i="16"/>
  <c r="X222" i="16"/>
  <c r="X214" i="16"/>
  <c r="X206" i="16"/>
  <c r="X198" i="16"/>
  <c r="X184" i="16"/>
  <c r="Y167" i="16"/>
  <c r="X156" i="16"/>
  <c r="Y132" i="16"/>
  <c r="Y129" i="16"/>
  <c r="X126" i="16"/>
  <c r="Y94" i="16"/>
  <c r="X88" i="16"/>
  <c r="Y72" i="16"/>
  <c r="Y71" i="16"/>
  <c r="Y56" i="16"/>
  <c r="Y53" i="16"/>
  <c r="Y52" i="16"/>
  <c r="X50" i="16"/>
  <c r="Y49" i="16"/>
  <c r="Y48" i="16"/>
  <c r="X46" i="16"/>
  <c r="Y45" i="16"/>
  <c r="X42" i="16"/>
  <c r="Y26" i="16"/>
  <c r="Y20" i="16"/>
  <c r="Y17" i="16"/>
  <c r="X14" i="16"/>
  <c r="X11" i="16"/>
  <c r="Y5" i="16"/>
  <c r="Y3" i="16"/>
  <c r="Q259" i="15"/>
  <c r="P259" i="15"/>
  <c r="W259" i="15"/>
  <c r="T260" i="15"/>
  <c r="Q263" i="15"/>
  <c r="P264" i="15"/>
  <c r="P270" i="15"/>
  <c r="O270" i="15"/>
  <c r="W270" i="15"/>
  <c r="S271" i="15"/>
  <c r="S273" i="15"/>
  <c r="Q274" i="15"/>
  <c r="R275" i="15"/>
  <c r="R280" i="15"/>
  <c r="Q280" i="15"/>
  <c r="W280" i="15"/>
  <c r="R284" i="15"/>
  <c r="Q285" i="15"/>
  <c r="R286" i="15"/>
  <c r="O287" i="15"/>
  <c r="Q292" i="15"/>
  <c r="T293" i="15"/>
  <c r="S294" i="15"/>
  <c r="Q295" i="15"/>
  <c r="T296" i="15"/>
  <c r="S297" i="15"/>
  <c r="Y7" i="16"/>
  <c r="Y29" i="16"/>
  <c r="Y33" i="16"/>
  <c r="Y37" i="16"/>
  <c r="Y59" i="16"/>
  <c r="X62" i="16"/>
  <c r="X84" i="16"/>
  <c r="X100" i="16"/>
  <c r="Y139" i="16"/>
  <c r="X166" i="16"/>
  <c r="Y245" i="16"/>
  <c r="R295" i="15"/>
  <c r="N258" i="15"/>
  <c r="W260" i="15"/>
  <c r="N260" i="15"/>
  <c r="V260" i="15"/>
  <c r="S261" i="15"/>
  <c r="R261" i="15"/>
  <c r="W261" i="15"/>
  <c r="R263" i="15"/>
  <c r="S264" i="15"/>
  <c r="T271" i="15"/>
  <c r="T273" i="15"/>
  <c r="R274" i="15"/>
  <c r="S275" i="15"/>
  <c r="N279" i="15"/>
  <c r="O281" i="15"/>
  <c r="W281" i="15"/>
  <c r="N281" i="15"/>
  <c r="T282" i="15"/>
  <c r="S284" i="15"/>
  <c r="T285" i="15"/>
  <c r="S286" i="15"/>
  <c r="P287" i="15"/>
  <c r="R292" i="15"/>
  <c r="V293" i="15"/>
  <c r="T294" i="15"/>
  <c r="S295" i="15"/>
  <c r="V296" i="15"/>
  <c r="X5" i="16"/>
  <c r="Y6" i="16"/>
  <c r="X10" i="16"/>
  <c r="X16" i="16"/>
  <c r="Y19" i="16"/>
  <c r="X24" i="16"/>
  <c r="Y62" i="16"/>
  <c r="Y65" i="16"/>
  <c r="Y68" i="16"/>
  <c r="Y84" i="16"/>
  <c r="Y100" i="16"/>
  <c r="Y107" i="16"/>
  <c r="Y135" i="16"/>
  <c r="Y157" i="16"/>
  <c r="Y253" i="16"/>
  <c r="N259" i="15"/>
  <c r="P262" i="15"/>
  <c r="O262" i="15"/>
  <c r="W262" i="15"/>
  <c r="S263" i="15"/>
  <c r="T264" i="15"/>
  <c r="N270" i="15"/>
  <c r="R272" i="15"/>
  <c r="Q272" i="15"/>
  <c r="W272" i="15"/>
  <c r="V274" i="15"/>
  <c r="T275" i="15"/>
  <c r="O279" i="15"/>
  <c r="N280" i="15"/>
  <c r="Q283" i="15"/>
  <c r="P283" i="15"/>
  <c r="W283" i="15"/>
  <c r="T286" i="15"/>
  <c r="Q287" i="15"/>
  <c r="Y10" i="16"/>
  <c r="Y13" i="16"/>
  <c r="Y16" i="16"/>
  <c r="Y24" i="16"/>
  <c r="X78" i="16"/>
  <c r="X94" i="16"/>
  <c r="X136" i="16"/>
  <c r="Y197" i="16"/>
  <c r="B32" i="18"/>
  <c r="B33" i="18" s="1"/>
  <c r="C30" i="18"/>
  <c r="K37" i="19"/>
  <c r="P258" i="15"/>
  <c r="O259" i="15"/>
  <c r="O260" i="15"/>
  <c r="N261" i="15"/>
  <c r="Q270" i="15"/>
  <c r="N271" i="15"/>
  <c r="O273" i="15"/>
  <c r="W273" i="15"/>
  <c r="N273" i="15"/>
  <c r="T274" i="15"/>
  <c r="P279" i="15"/>
  <c r="O280" i="15"/>
  <c r="P281" i="15"/>
  <c r="N282" i="15"/>
  <c r="W284" i="15"/>
  <c r="N284" i="15"/>
  <c r="V284" i="15"/>
  <c r="S285" i="15"/>
  <c r="R285" i="15"/>
  <c r="W285" i="15"/>
  <c r="R287" i="15"/>
  <c r="S293" i="15"/>
  <c r="R293" i="15"/>
  <c r="P293" i="15"/>
  <c r="P294" i="15"/>
  <c r="O294" i="15"/>
  <c r="V294" i="15"/>
  <c r="T295" i="15"/>
  <c r="R296" i="15"/>
  <c r="Q296" i="15"/>
  <c r="O296" i="15"/>
  <c r="O297" i="15"/>
  <c r="Y4" i="16"/>
  <c r="X26" i="16"/>
  <c r="X52" i="16"/>
  <c r="X60" i="16"/>
  <c r="Y78" i="16"/>
  <c r="Y85" i="16"/>
  <c r="Y101" i="16"/>
  <c r="X132" i="16"/>
  <c r="Y136" i="16"/>
  <c r="Y179" i="16"/>
  <c r="Y205" i="16"/>
  <c r="R94" i="19"/>
  <c r="R264" i="15"/>
  <c r="Q264" i="15"/>
  <c r="W264" i="15"/>
  <c r="Q275" i="15"/>
  <c r="P275" i="15"/>
  <c r="W275" i="15"/>
  <c r="P286" i="15"/>
  <c r="O286" i="15"/>
  <c r="W286" i="15"/>
  <c r="W292" i="15"/>
  <c r="N292" i="15"/>
  <c r="V292" i="15"/>
  <c r="S292" i="15"/>
  <c r="X9" i="16"/>
  <c r="X18" i="16"/>
  <c r="Y21" i="16"/>
  <c r="X28" i="16"/>
  <c r="X30" i="16"/>
  <c r="Y32" i="16"/>
  <c r="X34" i="16"/>
  <c r="Y36" i="16"/>
  <c r="Y40" i="16"/>
  <c r="Y55" i="16"/>
  <c r="X58" i="16"/>
  <c r="Y63" i="16"/>
  <c r="X66" i="16"/>
  <c r="X72" i="16"/>
  <c r="Y163" i="16"/>
  <c r="Y213" i="16"/>
  <c r="R70" i="19"/>
  <c r="T289" i="15"/>
  <c r="T297" i="15"/>
  <c r="S258" i="15"/>
  <c r="T263" i="15"/>
  <c r="S266" i="15"/>
  <c r="S274" i="15"/>
  <c r="S282" i="15"/>
  <c r="N289" i="15"/>
  <c r="W289" i="15"/>
  <c r="S290" i="15"/>
  <c r="N297" i="15"/>
  <c r="W297" i="15"/>
  <c r="R92" i="19"/>
  <c r="C54" i="17"/>
  <c r="R86" i="19"/>
  <c r="D15" i="18"/>
  <c r="B82" i="18"/>
  <c r="C14" i="18" s="1"/>
  <c r="I28" i="19"/>
  <c r="I29" i="19" s="1"/>
  <c r="R90" i="19"/>
  <c r="R88" i="19"/>
  <c r="R55" i="19"/>
  <c r="R49" i="19"/>
  <c r="R25" i="19"/>
  <c r="R24" i="19"/>
  <c r="R20" i="19"/>
  <c r="R72" i="19"/>
  <c r="S227" i="20"/>
  <c r="B83" i="18"/>
  <c r="C15" i="18" s="1"/>
  <c r="R23" i="19"/>
  <c r="R56" i="19"/>
  <c r="R68" i="19"/>
  <c r="S59" i="20"/>
  <c r="S77" i="20"/>
  <c r="S209" i="20"/>
  <c r="C31" i="18"/>
  <c r="R52" i="19"/>
  <c r="R84" i="19"/>
  <c r="R93" i="19"/>
  <c r="R89" i="19"/>
  <c r="R85" i="19"/>
  <c r="R81" i="19"/>
  <c r="R77" i="19"/>
  <c r="R73" i="19"/>
  <c r="R69" i="19"/>
  <c r="R65" i="19"/>
  <c r="R61" i="19"/>
  <c r="R95" i="19"/>
  <c r="R91" i="19"/>
  <c r="R87" i="19"/>
  <c r="R83" i="19"/>
  <c r="R79" i="19"/>
  <c r="R75" i="19"/>
  <c r="R71" i="19"/>
  <c r="R67" i="19"/>
  <c r="R63" i="19"/>
  <c r="R59" i="19"/>
  <c r="R18" i="19"/>
  <c r="R26" i="19"/>
  <c r="R37" i="19"/>
  <c r="R38" i="19"/>
  <c r="R39" i="19"/>
  <c r="R40" i="19"/>
  <c r="R41" i="19"/>
  <c r="R42" i="19"/>
  <c r="R43" i="19"/>
  <c r="R44" i="19"/>
  <c r="R45" i="19"/>
  <c r="R46" i="19"/>
  <c r="R47" i="19"/>
  <c r="R48" i="19"/>
  <c r="R57" i="19"/>
  <c r="R80" i="19"/>
  <c r="R82" i="19"/>
  <c r="S109" i="20"/>
  <c r="S241" i="20"/>
  <c r="J23" i="20"/>
  <c r="R15" i="19"/>
  <c r="R54" i="19"/>
  <c r="R76" i="19"/>
  <c r="R78" i="19"/>
  <c r="P13" i="20"/>
  <c r="O17" i="20"/>
  <c r="S17" i="20" s="1"/>
  <c r="P21" i="20"/>
  <c r="O25" i="20"/>
  <c r="S25" i="20" s="1"/>
  <c r="P29" i="20"/>
  <c r="O34" i="20"/>
  <c r="N38" i="20"/>
  <c r="S38" i="20" s="1"/>
  <c r="O42" i="20"/>
  <c r="N46" i="20"/>
  <c r="S46" i="20" s="1"/>
  <c r="O50" i="20"/>
  <c r="N54" i="20"/>
  <c r="S54" i="20" s="1"/>
  <c r="O58" i="20"/>
  <c r="O62" i="20"/>
  <c r="P66" i="20"/>
  <c r="P70" i="20"/>
  <c r="P75" i="20"/>
  <c r="P80" i="20"/>
  <c r="O85" i="20"/>
  <c r="S85" i="20" s="1"/>
  <c r="O90" i="20"/>
  <c r="P94" i="20"/>
  <c r="O99" i="20"/>
  <c r="S99" i="20" s="1"/>
  <c r="O104" i="20"/>
  <c r="S104" i="20" s="1"/>
  <c r="O109" i="20"/>
  <c r="O113" i="20"/>
  <c r="S113" i="20" s="1"/>
  <c r="O118" i="20"/>
  <c r="S118" i="20" s="1"/>
  <c r="O123" i="20"/>
  <c r="S123" i="20" s="1"/>
  <c r="N128" i="20"/>
  <c r="N133" i="20"/>
  <c r="O137" i="20"/>
  <c r="S137" i="20" s="1"/>
  <c r="N142" i="20"/>
  <c r="N147" i="20"/>
  <c r="N152" i="20"/>
  <c r="S152" i="20" s="1"/>
  <c r="N156" i="20"/>
  <c r="S156" i="20" s="1"/>
  <c r="N161" i="20"/>
  <c r="S161" i="20" s="1"/>
  <c r="N166" i="20"/>
  <c r="S166" i="20" s="1"/>
  <c r="P170" i="20"/>
  <c r="P175" i="20"/>
  <c r="N180" i="20"/>
  <c r="P184" i="20"/>
  <c r="P189" i="20"/>
  <c r="P194" i="20"/>
  <c r="P198" i="20"/>
  <c r="P203" i="20"/>
  <c r="P208" i="20"/>
  <c r="O213" i="20"/>
  <c r="S213" i="20" s="1"/>
  <c r="O218" i="20"/>
  <c r="P222" i="20"/>
  <c r="O227" i="20"/>
  <c r="O232" i="20"/>
  <c r="S232" i="20" s="1"/>
  <c r="O237" i="20"/>
  <c r="S237" i="20" s="1"/>
  <c r="O241" i="20"/>
  <c r="O246" i="20"/>
  <c r="S246" i="20" s="1"/>
  <c r="O251" i="20"/>
  <c r="S251" i="20" s="1"/>
  <c r="N256" i="20"/>
  <c r="N261" i="20"/>
  <c r="N11" i="20"/>
  <c r="O14" i="20"/>
  <c r="S14" i="20" s="1"/>
  <c r="P18" i="20"/>
  <c r="O22" i="20"/>
  <c r="S22" i="20" s="1"/>
  <c r="N27" i="20"/>
  <c r="P30" i="20"/>
  <c r="N35" i="20"/>
  <c r="P38" i="20"/>
  <c r="N43" i="20"/>
  <c r="P46" i="20"/>
  <c r="N51" i="20"/>
  <c r="P55" i="20"/>
  <c r="O59" i="20"/>
  <c r="P63" i="20"/>
  <c r="O67" i="20"/>
  <c r="S67" i="20" s="1"/>
  <c r="O72" i="20"/>
  <c r="S72" i="20" s="1"/>
  <c r="O77" i="20"/>
  <c r="O81" i="20"/>
  <c r="S81" i="20" s="1"/>
  <c r="O86" i="20"/>
  <c r="S86" i="20" s="1"/>
  <c r="O91" i="20"/>
  <c r="S91" i="20" s="1"/>
  <c r="N96" i="20"/>
  <c r="N101" i="20"/>
  <c r="O105" i="20"/>
  <c r="S105" i="20" s="1"/>
  <c r="N110" i="20"/>
  <c r="S110" i="20" s="1"/>
  <c r="N115" i="20"/>
  <c r="N120" i="20"/>
  <c r="N124" i="20"/>
  <c r="N129" i="20"/>
  <c r="S129" i="20" s="1"/>
  <c r="N134" i="20"/>
  <c r="P138" i="20"/>
  <c r="P143" i="20"/>
  <c r="N148" i="20"/>
  <c r="P152" i="20"/>
  <c r="P157" i="20"/>
  <c r="P162" i="20"/>
  <c r="P166" i="20"/>
  <c r="P171" i="20"/>
  <c r="P176" i="20"/>
  <c r="O181" i="20"/>
  <c r="S181" i="20" s="1"/>
  <c r="O186" i="20"/>
  <c r="P190" i="20"/>
  <c r="O195" i="20"/>
  <c r="S195" i="20" s="1"/>
  <c r="O200" i="20"/>
  <c r="S200" i="20" s="1"/>
  <c r="O205" i="20"/>
  <c r="S205" i="20" s="1"/>
  <c r="O209" i="20"/>
  <c r="O214" i="20"/>
  <c r="S214" i="20" s="1"/>
  <c r="O219" i="20"/>
  <c r="S219" i="20" s="1"/>
  <c r="N224" i="20"/>
  <c r="S224" i="20" s="1"/>
  <c r="N229" i="20"/>
  <c r="O233" i="20"/>
  <c r="S233" i="20" s="1"/>
  <c r="N238" i="20"/>
  <c r="N243" i="20"/>
  <c r="S243" i="20" s="1"/>
  <c r="N248" i="20"/>
  <c r="N252" i="20"/>
  <c r="N257" i="20"/>
  <c r="P260" i="20"/>
  <c r="N258" i="20"/>
  <c r="O255" i="20"/>
  <c r="P252" i="20"/>
  <c r="N250" i="20"/>
  <c r="O247" i="20"/>
  <c r="P244" i="20"/>
  <c r="N242" i="20"/>
  <c r="O239" i="20"/>
  <c r="P236" i="20"/>
  <c r="N234" i="20"/>
  <c r="O231" i="20"/>
  <c r="P228" i="20"/>
  <c r="N226" i="20"/>
  <c r="O223" i="20"/>
  <c r="P220" i="20"/>
  <c r="N218" i="20"/>
  <c r="S218" i="20" s="1"/>
  <c r="O215" i="20"/>
  <c r="P212" i="20"/>
  <c r="N210" i="20"/>
  <c r="S210" i="20" s="1"/>
  <c r="O207" i="20"/>
  <c r="P204" i="20"/>
  <c r="N202" i="20"/>
  <c r="O199" i="20"/>
  <c r="P196" i="20"/>
  <c r="N194" i="20"/>
  <c r="S194" i="20" s="1"/>
  <c r="O191" i="20"/>
  <c r="P188" i="20"/>
  <c r="N186" i="20"/>
  <c r="O183" i="20"/>
  <c r="P180" i="20"/>
  <c r="N178" i="20"/>
  <c r="O175" i="20"/>
  <c r="P172" i="20"/>
  <c r="N170" i="20"/>
  <c r="S170" i="20" s="1"/>
  <c r="O167" i="20"/>
  <c r="P164" i="20"/>
  <c r="N162" i="20"/>
  <c r="S162" i="20" s="1"/>
  <c r="O159" i="20"/>
  <c r="P156" i="20"/>
  <c r="N154" i="20"/>
  <c r="O151" i="20"/>
  <c r="P148" i="20"/>
  <c r="N146" i="20"/>
  <c r="O143" i="20"/>
  <c r="P140" i="20"/>
  <c r="N138" i="20"/>
  <c r="S138" i="20" s="1"/>
  <c r="O135" i="20"/>
  <c r="P132" i="20"/>
  <c r="N130" i="20"/>
  <c r="O127" i="20"/>
  <c r="P124" i="20"/>
  <c r="N122" i="20"/>
  <c r="O119" i="20"/>
  <c r="P116" i="20"/>
  <c r="N114" i="20"/>
  <c r="O111" i="20"/>
  <c r="P108" i="20"/>
  <c r="N106" i="20"/>
  <c r="O103" i="20"/>
  <c r="P100" i="20"/>
  <c r="N98" i="20"/>
  <c r="O95" i="20"/>
  <c r="P92" i="20"/>
  <c r="N90" i="20"/>
  <c r="O87" i="20"/>
  <c r="P84" i="20"/>
  <c r="N82" i="20"/>
  <c r="S82" i="20" s="1"/>
  <c r="O79" i="20"/>
  <c r="P76" i="20"/>
  <c r="N74" i="20"/>
  <c r="S74" i="20" s="1"/>
  <c r="O71" i="20"/>
  <c r="P68" i="20"/>
  <c r="N66" i="20"/>
  <c r="S66" i="20" s="1"/>
  <c r="O63" i="20"/>
  <c r="P60" i="20"/>
  <c r="N58" i="20"/>
  <c r="O55" i="20"/>
  <c r="P52" i="20"/>
  <c r="N50" i="20"/>
  <c r="O47" i="20"/>
  <c r="P44" i="20"/>
  <c r="N42" i="20"/>
  <c r="O39" i="20"/>
  <c r="P36" i="20"/>
  <c r="N34" i="20"/>
  <c r="S34" i="20" s="1"/>
  <c r="O31" i="20"/>
  <c r="P28" i="20"/>
  <c r="N26" i="20"/>
  <c r="S26" i="20" s="1"/>
  <c r="O23" i="20"/>
  <c r="P20" i="20"/>
  <c r="N18" i="20"/>
  <c r="S18" i="20" s="1"/>
  <c r="O15" i="20"/>
  <c r="P12" i="20"/>
  <c r="O260" i="20"/>
  <c r="S260" i="20" s="1"/>
  <c r="P257" i="20"/>
  <c r="N255" i="20"/>
  <c r="O252" i="20"/>
  <c r="P249" i="20"/>
  <c r="N247" i="20"/>
  <c r="S247" i="20" s="1"/>
  <c r="O244" i="20"/>
  <c r="P241" i="20"/>
  <c r="N239" i="20"/>
  <c r="S239" i="20" s="1"/>
  <c r="O236" i="20"/>
  <c r="P233" i="20"/>
  <c r="N231" i="20"/>
  <c r="O228" i="20"/>
  <c r="S228" i="20" s="1"/>
  <c r="P225" i="20"/>
  <c r="N223" i="20"/>
  <c r="O220" i="20"/>
  <c r="P217" i="20"/>
  <c r="N215" i="20"/>
  <c r="S215" i="20" s="1"/>
  <c r="O212" i="20"/>
  <c r="P209" i="20"/>
  <c r="N207" i="20"/>
  <c r="O204" i="20"/>
  <c r="P201" i="20"/>
  <c r="N199" i="20"/>
  <c r="O196" i="20"/>
  <c r="P193" i="20"/>
  <c r="N191" i="20"/>
  <c r="O188" i="20"/>
  <c r="P185" i="20"/>
  <c r="N183" i="20"/>
  <c r="S183" i="20" s="1"/>
  <c r="O180" i="20"/>
  <c r="P177" i="20"/>
  <c r="N175" i="20"/>
  <c r="S175" i="20" s="1"/>
  <c r="O172" i="20"/>
  <c r="P169" i="20"/>
  <c r="N167" i="20"/>
  <c r="O164" i="20"/>
  <c r="P161" i="20"/>
  <c r="N159" i="20"/>
  <c r="O156" i="20"/>
  <c r="P153" i="20"/>
  <c r="N151" i="20"/>
  <c r="S151" i="20" s="1"/>
  <c r="O148" i="20"/>
  <c r="P145" i="20"/>
  <c r="N143" i="20"/>
  <c r="O140" i="20"/>
  <c r="P137" i="20"/>
  <c r="N135" i="20"/>
  <c r="O132" i="20"/>
  <c r="S132" i="20" s="1"/>
  <c r="P129" i="20"/>
  <c r="N127" i="20"/>
  <c r="O124" i="20"/>
  <c r="P121" i="20"/>
  <c r="N119" i="20"/>
  <c r="S119" i="20" s="1"/>
  <c r="O116" i="20"/>
  <c r="P113" i="20"/>
  <c r="N111" i="20"/>
  <c r="S111" i="20" s="1"/>
  <c r="O108" i="20"/>
  <c r="P105" i="20"/>
  <c r="N103" i="20"/>
  <c r="O100" i="20"/>
  <c r="S100" i="20" s="1"/>
  <c r="P97" i="20"/>
  <c r="N95" i="20"/>
  <c r="O92" i="20"/>
  <c r="P89" i="20"/>
  <c r="N87" i="20"/>
  <c r="S87" i="20" s="1"/>
  <c r="O84" i="20"/>
  <c r="P81" i="20"/>
  <c r="N79" i="20"/>
  <c r="O76" i="20"/>
  <c r="P73" i="20"/>
  <c r="N71" i="20"/>
  <c r="O68" i="20"/>
  <c r="P65" i="20"/>
  <c r="N63" i="20"/>
  <c r="O60" i="20"/>
  <c r="P57" i="20"/>
  <c r="N55" i="20"/>
  <c r="S55" i="20" s="1"/>
  <c r="O52" i="20"/>
  <c r="P49" i="20"/>
  <c r="N47" i="20"/>
  <c r="S47" i="20" s="1"/>
  <c r="O44" i="20"/>
  <c r="P41" i="20"/>
  <c r="N39" i="20"/>
  <c r="O36" i="20"/>
  <c r="P33" i="20"/>
  <c r="N31" i="20"/>
  <c r="O28" i="20"/>
  <c r="P25" i="20"/>
  <c r="N23" i="20"/>
  <c r="S23" i="20" s="1"/>
  <c r="O20" i="20"/>
  <c r="P17" i="20"/>
  <c r="N15" i="20"/>
  <c r="O12" i="20"/>
  <c r="O261" i="20"/>
  <c r="O257" i="20"/>
  <c r="N254" i="20"/>
  <c r="P250" i="20"/>
  <c r="P246" i="20"/>
  <c r="O243" i="20"/>
  <c r="N240" i="20"/>
  <c r="N236" i="20"/>
  <c r="S236" i="20" s="1"/>
  <c r="P232" i="20"/>
  <c r="O229" i="20"/>
  <c r="O225" i="20"/>
  <c r="N222" i="20"/>
  <c r="S222" i="20" s="1"/>
  <c r="P218" i="20"/>
  <c r="P214" i="20"/>
  <c r="O211" i="20"/>
  <c r="N208" i="20"/>
  <c r="S208" i="20" s="1"/>
  <c r="N204" i="20"/>
  <c r="P200" i="20"/>
  <c r="O197" i="20"/>
  <c r="O193" i="20"/>
  <c r="N190" i="20"/>
  <c r="S190" i="20" s="1"/>
  <c r="P186" i="20"/>
  <c r="P182" i="20"/>
  <c r="O179" i="20"/>
  <c r="N176" i="20"/>
  <c r="S176" i="20" s="1"/>
  <c r="N172" i="20"/>
  <c r="P168" i="20"/>
  <c r="O165" i="20"/>
  <c r="O161" i="20"/>
  <c r="N158" i="20"/>
  <c r="P154" i="20"/>
  <c r="P150" i="20"/>
  <c r="O147" i="20"/>
  <c r="N144" i="20"/>
  <c r="N140" i="20"/>
  <c r="P136" i="20"/>
  <c r="O133" i="20"/>
  <c r="O129" i="20"/>
  <c r="N126" i="20"/>
  <c r="P122" i="20"/>
  <c r="P118" i="20"/>
  <c r="O115" i="20"/>
  <c r="N112" i="20"/>
  <c r="S112" i="20" s="1"/>
  <c r="N108" i="20"/>
  <c r="S108" i="20" s="1"/>
  <c r="P104" i="20"/>
  <c r="O101" i="20"/>
  <c r="O97" i="20"/>
  <c r="N94" i="20"/>
  <c r="S94" i="20" s="1"/>
  <c r="P90" i="20"/>
  <c r="P86" i="20"/>
  <c r="O83" i="20"/>
  <c r="N80" i="20"/>
  <c r="S80" i="20" s="1"/>
  <c r="N76" i="20"/>
  <c r="P72" i="20"/>
  <c r="O69" i="20"/>
  <c r="O65" i="20"/>
  <c r="N62" i="20"/>
  <c r="S62" i="20" s="1"/>
  <c r="P58" i="20"/>
  <c r="P54" i="20"/>
  <c r="O51" i="20"/>
  <c r="N48" i="20"/>
  <c r="N44" i="20"/>
  <c r="P40" i="20"/>
  <c r="O37" i="20"/>
  <c r="O33" i="20"/>
  <c r="S33" i="20" s="1"/>
  <c r="N30" i="20"/>
  <c r="S30" i="20" s="1"/>
  <c r="P26" i="20"/>
  <c r="P22" i="20"/>
  <c r="O19" i="20"/>
  <c r="N16" i="20"/>
  <c r="N12" i="20"/>
  <c r="P259" i="20"/>
  <c r="O256" i="20"/>
  <c r="N253" i="20"/>
  <c r="N249" i="20"/>
  <c r="P245" i="20"/>
  <c r="O242" i="20"/>
  <c r="O238" i="20"/>
  <c r="N235" i="20"/>
  <c r="P231" i="20"/>
  <c r="P227" i="20"/>
  <c r="O224" i="20"/>
  <c r="N221" i="20"/>
  <c r="N217" i="20"/>
  <c r="S217" i="20" s="1"/>
  <c r="P213" i="20"/>
  <c r="O210" i="20"/>
  <c r="O206" i="20"/>
  <c r="N203" i="20"/>
  <c r="S203" i="20" s="1"/>
  <c r="P199" i="20"/>
  <c r="P195" i="20"/>
  <c r="O192" i="20"/>
  <c r="N189" i="20"/>
  <c r="S189" i="20" s="1"/>
  <c r="N185" i="20"/>
  <c r="S185" i="20" s="1"/>
  <c r="P181" i="20"/>
  <c r="O178" i="20"/>
  <c r="O174" i="20"/>
  <c r="N171" i="20"/>
  <c r="S171" i="20" s="1"/>
  <c r="P167" i="20"/>
  <c r="P163" i="20"/>
  <c r="O160" i="20"/>
  <c r="N157" i="20"/>
  <c r="S157" i="20" s="1"/>
  <c r="N153" i="20"/>
  <c r="P149" i="20"/>
  <c r="O146" i="20"/>
  <c r="O142" i="20"/>
  <c r="N139" i="20"/>
  <c r="P135" i="20"/>
  <c r="P131" i="20"/>
  <c r="O128" i="20"/>
  <c r="N125" i="20"/>
  <c r="N121" i="20"/>
  <c r="P117" i="20"/>
  <c r="O114" i="20"/>
  <c r="O110" i="20"/>
  <c r="N107" i="20"/>
  <c r="P103" i="20"/>
  <c r="P99" i="20"/>
  <c r="O96" i="20"/>
  <c r="N93" i="20"/>
  <c r="N89" i="20"/>
  <c r="S89" i="20" s="1"/>
  <c r="P85" i="20"/>
  <c r="O82" i="20"/>
  <c r="O78" i="20"/>
  <c r="N75" i="20"/>
  <c r="S75" i="20" s="1"/>
  <c r="P71" i="20"/>
  <c r="P67" i="20"/>
  <c r="P14" i="20"/>
  <c r="N19" i="20"/>
  <c r="S19" i="20" s="1"/>
  <c r="P23" i="20"/>
  <c r="O27" i="20"/>
  <c r="P31" i="20"/>
  <c r="O35" i="20"/>
  <c r="P39" i="20"/>
  <c r="O43" i="20"/>
  <c r="P47" i="20"/>
  <c r="P51" i="20"/>
  <c r="N56" i="20"/>
  <c r="P59" i="20"/>
  <c r="N64" i="20"/>
  <c r="N68" i="20"/>
  <c r="N73" i="20"/>
  <c r="P77" i="20"/>
  <c r="P82" i="20"/>
  <c r="P87" i="20"/>
  <c r="P91" i="20"/>
  <c r="P96" i="20"/>
  <c r="P101" i="20"/>
  <c r="O106" i="20"/>
  <c r="P110" i="20"/>
  <c r="P115" i="20"/>
  <c r="O120" i="20"/>
  <c r="O125" i="20"/>
  <c r="O130" i="20"/>
  <c r="O134" i="20"/>
  <c r="O139" i="20"/>
  <c r="O144" i="20"/>
  <c r="N149" i="20"/>
  <c r="O153" i="20"/>
  <c r="O158" i="20"/>
  <c r="N163" i="20"/>
  <c r="N168" i="20"/>
  <c r="N173" i="20"/>
  <c r="N177" i="20"/>
  <c r="N182" i="20"/>
  <c r="N187" i="20"/>
  <c r="P191" i="20"/>
  <c r="N196" i="20"/>
  <c r="N201" i="20"/>
  <c r="P205" i="20"/>
  <c r="P210" i="20"/>
  <c r="P215" i="20"/>
  <c r="P219" i="20"/>
  <c r="P224" i="20"/>
  <c r="P229" i="20"/>
  <c r="O234" i="20"/>
  <c r="P238" i="20"/>
  <c r="P243" i="20"/>
  <c r="O248" i="20"/>
  <c r="O253" i="20"/>
  <c r="O258" i="20"/>
  <c r="O262" i="20"/>
  <c r="S262" i="20" s="1"/>
  <c r="O11" i="20"/>
  <c r="P15" i="20"/>
  <c r="P19" i="20"/>
  <c r="N24" i="20"/>
  <c r="P27" i="20"/>
  <c r="N32" i="20"/>
  <c r="P35" i="20"/>
  <c r="N40" i="20"/>
  <c r="P43" i="20"/>
  <c r="O48" i="20"/>
  <c r="N52" i="20"/>
  <c r="S52" i="20" s="1"/>
  <c r="O56" i="20"/>
  <c r="N60" i="20"/>
  <c r="O64" i="20"/>
  <c r="N69" i="20"/>
  <c r="O73" i="20"/>
  <c r="N78" i="20"/>
  <c r="N83" i="20"/>
  <c r="S83" i="20" s="1"/>
  <c r="N88" i="20"/>
  <c r="N92" i="20"/>
  <c r="S92" i="20" s="1"/>
  <c r="N97" i="20"/>
  <c r="N102" i="20"/>
  <c r="P106" i="20"/>
  <c r="P111" i="20"/>
  <c r="N116" i="20"/>
  <c r="P120" i="20"/>
  <c r="P125" i="20"/>
  <c r="P130" i="20"/>
  <c r="P134" i="20"/>
  <c r="P139" i="20"/>
  <c r="P144" i="20"/>
  <c r="O149" i="20"/>
  <c r="O154" i="20"/>
  <c r="P158" i="20"/>
  <c r="O163" i="20"/>
  <c r="O168" i="20"/>
  <c r="O173" i="20"/>
  <c r="O177" i="20"/>
  <c r="O182" i="20"/>
  <c r="O187" i="20"/>
  <c r="N192" i="20"/>
  <c r="N197" i="20"/>
  <c r="S197" i="20" s="1"/>
  <c r="O201" i="20"/>
  <c r="N206" i="20"/>
  <c r="S206" i="20" s="1"/>
  <c r="N211" i="20"/>
  <c r="N216" i="20"/>
  <c r="N220" i="20"/>
  <c r="N225" i="20"/>
  <c r="N230" i="20"/>
  <c r="P234" i="20"/>
  <c r="P239" i="20"/>
  <c r="N244" i="20"/>
  <c r="S244" i="20" s="1"/>
  <c r="P248" i="20"/>
  <c r="P253" i="20"/>
  <c r="P258" i="20"/>
  <c r="P262" i="20"/>
  <c r="P11" i="20"/>
  <c r="O16" i="20"/>
  <c r="N20" i="20"/>
  <c r="O24" i="20"/>
  <c r="N28" i="20"/>
  <c r="S28" i="20" s="1"/>
  <c r="O32" i="20"/>
  <c r="N36" i="20"/>
  <c r="O40" i="20"/>
  <c r="N45" i="20"/>
  <c r="P48" i="20"/>
  <c r="N53" i="20"/>
  <c r="P56" i="20"/>
  <c r="N61" i="20"/>
  <c r="P64" i="20"/>
  <c r="P69" i="20"/>
  <c r="O74" i="20"/>
  <c r="P78" i="20"/>
  <c r="P83" i="20"/>
  <c r="O88" i="20"/>
  <c r="O93" i="20"/>
  <c r="O98" i="20"/>
  <c r="O102" i="20"/>
  <c r="O107" i="20"/>
  <c r="O112" i="20"/>
  <c r="N117" i="20"/>
  <c r="O121" i="20"/>
  <c r="O126" i="20"/>
  <c r="N131" i="20"/>
  <c r="N136" i="20"/>
  <c r="N141" i="20"/>
  <c r="N145" i="20"/>
  <c r="N150" i="20"/>
  <c r="N155" i="20"/>
  <c r="P159" i="20"/>
  <c r="N164" i="20"/>
  <c r="S164" i="20" s="1"/>
  <c r="N169" i="20"/>
  <c r="P173" i="20"/>
  <c r="P178" i="20"/>
  <c r="P183" i="20"/>
  <c r="P187" i="20"/>
  <c r="P192" i="20"/>
  <c r="P197" i="20"/>
  <c r="O202" i="20"/>
  <c r="P206" i="20"/>
  <c r="P211" i="20"/>
  <c r="O216" i="20"/>
  <c r="O221" i="20"/>
  <c r="O226" i="20"/>
  <c r="O230" i="20"/>
  <c r="O235" i="20"/>
  <c r="O240" i="20"/>
  <c r="N245" i="20"/>
  <c r="O249" i="20"/>
  <c r="O254" i="20"/>
  <c r="N259" i="20"/>
  <c r="N13" i="20"/>
  <c r="S13" i="20" s="1"/>
  <c r="P16" i="20"/>
  <c r="N21" i="20"/>
  <c r="S21" i="20" s="1"/>
  <c r="P24" i="20"/>
  <c r="N29" i="20"/>
  <c r="S29" i="20" s="1"/>
  <c r="P32" i="20"/>
  <c r="N37" i="20"/>
  <c r="N41" i="20"/>
  <c r="S41" i="20" s="1"/>
  <c r="O45" i="20"/>
  <c r="N49" i="20"/>
  <c r="S49" i="20" s="1"/>
  <c r="O53" i="20"/>
  <c r="N57" i="20"/>
  <c r="S57" i="20" s="1"/>
  <c r="O61" i="20"/>
  <c r="N65" i="20"/>
  <c r="N70" i="20"/>
  <c r="S70" i="20" s="1"/>
  <c r="P74" i="20"/>
  <c r="P79" i="20"/>
  <c r="N84" i="20"/>
  <c r="P88" i="20"/>
  <c r="P93" i="20"/>
  <c r="P98" i="20"/>
  <c r="P102" i="20"/>
  <c r="P107" i="20"/>
  <c r="P112" i="20"/>
  <c r="O117" i="20"/>
  <c r="O122" i="20"/>
  <c r="P126" i="20"/>
  <c r="O131" i="20"/>
  <c r="O136" i="20"/>
  <c r="O141" i="20"/>
  <c r="O145" i="20"/>
  <c r="O150" i="20"/>
  <c r="O155" i="20"/>
  <c r="N160" i="20"/>
  <c r="N165" i="20"/>
  <c r="O169" i="20"/>
  <c r="N174" i="20"/>
  <c r="N179" i="20"/>
  <c r="N184" i="20"/>
  <c r="S184" i="20" s="1"/>
  <c r="N188" i="20"/>
  <c r="N193" i="20"/>
  <c r="N198" i="20"/>
  <c r="S198" i="20" s="1"/>
  <c r="P202" i="20"/>
  <c r="P207" i="20"/>
  <c r="N212" i="20"/>
  <c r="S212" i="20" s="1"/>
  <c r="P216" i="20"/>
  <c r="P221" i="20"/>
  <c r="P226" i="20"/>
  <c r="P230" i="20"/>
  <c r="P235" i="20"/>
  <c r="P240" i="20"/>
  <c r="O245" i="20"/>
  <c r="O250" i="20"/>
  <c r="P254" i="20"/>
  <c r="O259" i="20"/>
  <c r="J22" i="20"/>
  <c r="R38" i="22"/>
  <c r="R25" i="22"/>
  <c r="O6" i="21"/>
  <c r="P6" i="21" s="1"/>
  <c r="R60" i="22"/>
  <c r="R81" i="23"/>
  <c r="R28" i="23"/>
  <c r="R23" i="23"/>
  <c r="R22" i="23"/>
  <c r="R82" i="23"/>
  <c r="R21" i="23"/>
  <c r="R19" i="23"/>
  <c r="R16" i="23"/>
  <c r="R83" i="23"/>
  <c r="R76" i="23"/>
  <c r="R68" i="23"/>
  <c r="R60" i="23"/>
  <c r="R52" i="23"/>
  <c r="R44" i="23"/>
  <c r="R41" i="23"/>
  <c r="R37" i="23"/>
  <c r="R33" i="23"/>
  <c r="R18" i="23"/>
  <c r="R17" i="23"/>
  <c r="R13" i="23"/>
  <c r="R71" i="23"/>
  <c r="R63" i="23"/>
  <c r="R55" i="23"/>
  <c r="R47" i="23"/>
  <c r="R79" i="23"/>
  <c r="R74" i="23"/>
  <c r="R66" i="23"/>
  <c r="R58" i="23"/>
  <c r="R50" i="23"/>
  <c r="R42" i="23"/>
  <c r="R38" i="23"/>
  <c r="R34" i="23"/>
  <c r="R30" i="23"/>
  <c r="R88" i="23"/>
  <c r="R86" i="23"/>
  <c r="R84" i="23"/>
  <c r="R77" i="23"/>
  <c r="R69" i="23"/>
  <c r="R61" i="23"/>
  <c r="R53" i="23"/>
  <c r="R45" i="23"/>
  <c r="R80" i="23"/>
  <c r="R78" i="23"/>
  <c r="R70" i="23"/>
  <c r="R62" i="23"/>
  <c r="R54" i="23"/>
  <c r="R46" i="23"/>
  <c r="R40" i="23"/>
  <c r="R36" i="23"/>
  <c r="R32" i="23"/>
  <c r="R72" i="23"/>
  <c r="R51" i="23"/>
  <c r="R59" i="23"/>
  <c r="R85" i="23"/>
  <c r="R67" i="23"/>
  <c r="R35" i="23"/>
  <c r="R75" i="23"/>
  <c r="R26" i="23"/>
  <c r="R24" i="23"/>
  <c r="R15" i="23"/>
  <c r="R12" i="23"/>
  <c r="R65" i="23"/>
  <c r="R56" i="23"/>
  <c r="R31" i="23"/>
  <c r="R27" i="23"/>
  <c r="R87" i="23"/>
  <c r="R20" i="23"/>
  <c r="R64" i="23"/>
  <c r="R49" i="23"/>
  <c r="R39" i="23"/>
  <c r="R48" i="23"/>
  <c r="R43" i="23"/>
  <c r="R73" i="23"/>
  <c r="R57" i="23"/>
  <c r="R25" i="23"/>
  <c r="R14" i="23"/>
  <c r="L5" i="21"/>
  <c r="R16" i="22"/>
  <c r="R54" i="22"/>
  <c r="R29" i="23"/>
  <c r="N5" i="21"/>
  <c r="D21" i="22"/>
  <c r="I29" i="22" s="1"/>
  <c r="I30" i="22" s="1"/>
  <c r="R81" i="22"/>
  <c r="R87" i="22"/>
  <c r="R83" i="22"/>
  <c r="R79" i="22"/>
  <c r="R71" i="22"/>
  <c r="R63" i="22"/>
  <c r="R55" i="22"/>
  <c r="R47" i="22"/>
  <c r="R39" i="22"/>
  <c r="R31" i="22"/>
  <c r="R26" i="22"/>
  <c r="R22" i="22"/>
  <c r="R19" i="22"/>
  <c r="R18" i="22"/>
  <c r="R85" i="22"/>
  <c r="R74" i="22"/>
  <c r="R66" i="22"/>
  <c r="R58" i="22"/>
  <c r="R50" i="22"/>
  <c r="R42" i="22"/>
  <c r="R34" i="22"/>
  <c r="R27" i="22"/>
  <c r="R88" i="22"/>
  <c r="R77" i="22"/>
  <c r="R69" i="22"/>
  <c r="R61" i="22"/>
  <c r="R53" i="22"/>
  <c r="R45" i="22"/>
  <c r="R37" i="22"/>
  <c r="R28" i="22"/>
  <c r="R82" i="22"/>
  <c r="R80" i="22"/>
  <c r="R72" i="22"/>
  <c r="R64" i="22"/>
  <c r="R56" i="22"/>
  <c r="R48" i="22"/>
  <c r="R40" i="22"/>
  <c r="R32" i="22"/>
  <c r="R29" i="22"/>
  <c r="R24" i="22"/>
  <c r="R23" i="22"/>
  <c r="R17" i="22"/>
  <c r="R84" i="22"/>
  <c r="R75" i="22"/>
  <c r="R67" i="22"/>
  <c r="R51" i="22"/>
  <c r="R35" i="22"/>
  <c r="R76" i="22"/>
  <c r="R62" i="22"/>
  <c r="R46" i="22"/>
  <c r="R30" i="22"/>
  <c r="R21" i="22"/>
  <c r="R13" i="22"/>
  <c r="R73" i="22"/>
  <c r="R57" i="22"/>
  <c r="R41" i="22"/>
  <c r="R86" i="22"/>
  <c r="R68" i="22"/>
  <c r="R52" i="22"/>
  <c r="R36" i="22"/>
  <c r="R14" i="22"/>
  <c r="R59" i="22"/>
  <c r="R78" i="22"/>
  <c r="R65" i="22"/>
  <c r="R49" i="22"/>
  <c r="R33" i="22"/>
  <c r="R43" i="22"/>
  <c r="R70" i="22"/>
  <c r="R12" i="22"/>
  <c r="R20" i="22"/>
  <c r="R44" i="22"/>
  <c r="Q25" i="22"/>
  <c r="Q46" i="22"/>
  <c r="Q94" i="22"/>
  <c r="Q52" i="22"/>
  <c r="Q31" i="22"/>
  <c r="Q66" i="22"/>
  <c r="Q45" i="22"/>
  <c r="Q87" i="22"/>
  <c r="Q80" i="22"/>
  <c r="Q17" i="22"/>
  <c r="Q67" i="22"/>
  <c r="Q95" i="22"/>
  <c r="Q60" i="22"/>
  <c r="Q39" i="22"/>
  <c r="Q74" i="22"/>
  <c r="Q88" i="22"/>
  <c r="Q53" i="22"/>
  <c r="D21" i="23"/>
  <c r="R94" i="23" s="1"/>
  <c r="D12" i="24"/>
  <c r="D8" i="24"/>
  <c r="D11" i="24" s="1"/>
  <c r="E8" i="24"/>
  <c r="E11" i="24" s="1"/>
  <c r="G8" i="25"/>
  <c r="Q80" i="23"/>
  <c r="Q87" i="23"/>
  <c r="Q73" i="23"/>
  <c r="Q52" i="23"/>
  <c r="Q94" i="23"/>
  <c r="Q66" i="23"/>
  <c r="Q38" i="23"/>
  <c r="Q59" i="23"/>
  <c r="Q45" i="23"/>
  <c r="Q88" i="23"/>
  <c r="Q18" i="23"/>
  <c r="Q81" i="23"/>
  <c r="Q60" i="23"/>
  <c r="Q74" i="23"/>
  <c r="Q67" i="23"/>
  <c r="Q25" i="23"/>
  <c r="Q46" i="23"/>
  <c r="Q39" i="23"/>
  <c r="B29" i="24"/>
  <c r="D10" i="24" s="1"/>
  <c r="B23" i="24"/>
  <c r="G20" i="24"/>
  <c r="G23" i="24" s="1"/>
  <c r="D23" i="24"/>
  <c r="C25" i="24"/>
  <c r="H25" i="24" s="1"/>
  <c r="D21" i="24"/>
  <c r="D24" i="24" s="1"/>
  <c r="E12" i="24"/>
  <c r="F21" i="24"/>
  <c r="F24" i="24" s="1"/>
  <c r="E21" i="28"/>
  <c r="C46" i="27"/>
  <c r="C7" i="24"/>
  <c r="F8" i="24"/>
  <c r="F11" i="24" s="1"/>
  <c r="I20" i="29"/>
  <c r="I14" i="29"/>
  <c r="I25" i="29" s="1"/>
  <c r="Q20" i="29"/>
  <c r="Q14" i="29"/>
  <c r="Q25" i="29" s="1"/>
  <c r="Y20" i="29"/>
  <c r="Y14" i="29"/>
  <c r="Y25" i="29" s="1"/>
  <c r="F21" i="29"/>
  <c r="F15" i="29"/>
  <c r="F26" i="29" s="1"/>
  <c r="N21" i="29"/>
  <c r="N15" i="29"/>
  <c r="N26" i="29" s="1"/>
  <c r="V21" i="29"/>
  <c r="V15" i="29"/>
  <c r="V26" i="29" s="1"/>
  <c r="C22" i="29"/>
  <c r="C16" i="29"/>
  <c r="C27" i="29" s="1"/>
  <c r="K22" i="29"/>
  <c r="K16" i="29"/>
  <c r="K27" i="29" s="1"/>
  <c r="S22" i="29"/>
  <c r="S16" i="29"/>
  <c r="S27" i="29" s="1"/>
  <c r="AA22" i="29"/>
  <c r="AA16" i="29"/>
  <c r="AA27" i="29" s="1"/>
  <c r="J32" i="29"/>
  <c r="C8" i="31"/>
  <c r="O44" i="30"/>
  <c r="D8" i="31" s="1"/>
  <c r="O73" i="30"/>
  <c r="D11" i="31" s="1"/>
  <c r="C11" i="31"/>
  <c r="U31" i="29"/>
  <c r="C4" i="31"/>
  <c r="O8" i="30"/>
  <c r="D4" i="31" s="1"/>
  <c r="D18" i="31"/>
  <c r="O14" i="30"/>
  <c r="E18" i="31" s="1"/>
  <c r="I17" i="27"/>
  <c r="E20" i="27"/>
  <c r="O18" i="27" s="1"/>
  <c r="H30" i="29"/>
  <c r="R32" i="29"/>
  <c r="D23" i="31"/>
  <c r="O51" i="30"/>
  <c r="E23" i="31" s="1"/>
  <c r="D31" i="31"/>
  <c r="O80" i="30"/>
  <c r="E31" i="31" s="1"/>
  <c r="E20" i="28"/>
  <c r="O67" i="30"/>
  <c r="E26" i="31" s="1"/>
  <c r="D26" i="31"/>
  <c r="B32" i="29"/>
  <c r="O12" i="30"/>
  <c r="E16" i="31" s="1"/>
  <c r="D16" i="31"/>
  <c r="I18" i="27"/>
  <c r="E21" i="27"/>
  <c r="C97" i="28"/>
  <c r="P30" i="29"/>
  <c r="Z32" i="29"/>
  <c r="O15" i="30"/>
  <c r="E19" i="31" s="1"/>
  <c r="C7" i="31"/>
  <c r="O36" i="30"/>
  <c r="D7" i="31" s="1"/>
  <c r="B20" i="29"/>
  <c r="B30" i="29" s="1"/>
  <c r="J20" i="29"/>
  <c r="J30" i="29" s="1"/>
  <c r="R20" i="29"/>
  <c r="R30" i="29" s="1"/>
  <c r="Z20" i="29"/>
  <c r="Z30" i="29" s="1"/>
  <c r="G21" i="29"/>
  <c r="G31" i="29" s="1"/>
  <c r="O21" i="29"/>
  <c r="O31" i="29" s="1"/>
  <c r="W21" i="29"/>
  <c r="W31" i="29" s="1"/>
  <c r="D22" i="29"/>
  <c r="D32" i="29" s="1"/>
  <c r="L22" i="29"/>
  <c r="L32" i="29" s="1"/>
  <c r="T22" i="29"/>
  <c r="T32" i="29" s="1"/>
  <c r="AB22" i="29"/>
  <c r="AB32" i="29" s="1"/>
  <c r="C5" i="31"/>
  <c r="D14" i="29"/>
  <c r="D25" i="29" s="1"/>
  <c r="D30" i="29" s="1"/>
  <c r="L14" i="29"/>
  <c r="L25" i="29" s="1"/>
  <c r="L30" i="29" s="1"/>
  <c r="T14" i="29"/>
  <c r="T25" i="29" s="1"/>
  <c r="T30" i="29" s="1"/>
  <c r="AB14" i="29"/>
  <c r="AB25" i="29" s="1"/>
  <c r="AB30" i="29" s="1"/>
  <c r="I15" i="29"/>
  <c r="I26" i="29" s="1"/>
  <c r="I31" i="29" s="1"/>
  <c r="Q15" i="29"/>
  <c r="Q26" i="29" s="1"/>
  <c r="Q31" i="29" s="1"/>
  <c r="Y15" i="29"/>
  <c r="Y26" i="29" s="1"/>
  <c r="Y31" i="29" s="1"/>
  <c r="F16" i="29"/>
  <c r="F27" i="29" s="1"/>
  <c r="F32" i="29" s="1"/>
  <c r="N16" i="29"/>
  <c r="N27" i="29" s="1"/>
  <c r="N32" i="29" s="1"/>
  <c r="V16" i="29"/>
  <c r="V27" i="29" s="1"/>
  <c r="V32" i="29" s="1"/>
  <c r="O25" i="30"/>
  <c r="D6" i="31" s="1"/>
  <c r="O61" i="30"/>
  <c r="D10" i="31" s="1"/>
  <c r="E14" i="29"/>
  <c r="E25" i="29" s="1"/>
  <c r="E30" i="29" s="1"/>
  <c r="M14" i="29"/>
  <c r="M25" i="29" s="1"/>
  <c r="M30" i="29" s="1"/>
  <c r="U14" i="29"/>
  <c r="U25" i="29" s="1"/>
  <c r="U30" i="29" s="1"/>
  <c r="B15" i="29"/>
  <c r="B26" i="29" s="1"/>
  <c r="B31" i="29" s="1"/>
  <c r="J15" i="29"/>
  <c r="J26" i="29" s="1"/>
  <c r="J31" i="29" s="1"/>
  <c r="R15" i="29"/>
  <c r="R26" i="29" s="1"/>
  <c r="R31" i="29" s="1"/>
  <c r="Z15" i="29"/>
  <c r="Z26" i="29" s="1"/>
  <c r="Z31" i="29" s="1"/>
  <c r="G16" i="29"/>
  <c r="G27" i="29" s="1"/>
  <c r="G32" i="29" s="1"/>
  <c r="O16" i="29"/>
  <c r="O27" i="29" s="1"/>
  <c r="O32" i="29" s="1"/>
  <c r="W16" i="29"/>
  <c r="W27" i="29" s="1"/>
  <c r="W32" i="29" s="1"/>
  <c r="D17" i="31"/>
  <c r="D19" i="31"/>
  <c r="Z33" i="29" l="1"/>
  <c r="J33" i="29"/>
  <c r="G33" i="29"/>
  <c r="AB33" i="29"/>
  <c r="E33" i="29"/>
  <c r="C45" i="25"/>
  <c r="G9" i="25"/>
  <c r="C43" i="25"/>
  <c r="C42" i="25"/>
  <c r="C41" i="25"/>
  <c r="H12" i="24"/>
  <c r="H11" i="24"/>
  <c r="G198" i="16"/>
  <c r="Y206" i="20" s="1"/>
  <c r="G169" i="16"/>
  <c r="Y177" i="20" s="1"/>
  <c r="H23" i="24"/>
  <c r="F50" i="20"/>
  <c r="G50" i="20" s="1"/>
  <c r="G81" i="16"/>
  <c r="Y89" i="20" s="1"/>
  <c r="F13" i="20"/>
  <c r="G13" i="20" s="1"/>
  <c r="G31" i="16"/>
  <c r="Y39" i="20" s="1"/>
  <c r="G30" i="16"/>
  <c r="Y38" i="20" s="1"/>
  <c r="G29" i="16"/>
  <c r="Y37" i="20" s="1"/>
  <c r="G28" i="16"/>
  <c r="Y36" i="20" s="1"/>
  <c r="G27" i="16"/>
  <c r="T27" i="16" s="1"/>
  <c r="G32" i="16"/>
  <c r="Y40" i="20" s="1"/>
  <c r="X33" i="29"/>
  <c r="M33" i="29"/>
  <c r="S24" i="20"/>
  <c r="M7" i="14"/>
  <c r="J34" i="5"/>
  <c r="B22" i="18"/>
  <c r="AF75" i="3"/>
  <c r="S201" i="20"/>
  <c r="S235" i="20"/>
  <c r="S120" i="20"/>
  <c r="T33" i="29"/>
  <c r="W33" i="29"/>
  <c r="C10" i="24"/>
  <c r="S155" i="20"/>
  <c r="S117" i="20"/>
  <c r="S45" i="20"/>
  <c r="S116" i="20"/>
  <c r="S16" i="20"/>
  <c r="S158" i="20"/>
  <c r="S130" i="20"/>
  <c r="S229" i="20"/>
  <c r="S115" i="20"/>
  <c r="AF84" i="3"/>
  <c r="AF137" i="3"/>
  <c r="AF146" i="3"/>
  <c r="C32" i="29"/>
  <c r="C33" i="29" s="1"/>
  <c r="S121" i="20"/>
  <c r="S15" i="20"/>
  <c r="S143" i="20"/>
  <c r="H24" i="24"/>
  <c r="S40" i="20"/>
  <c r="S63" i="20"/>
  <c r="S191" i="20"/>
  <c r="S255" i="20"/>
  <c r="S90" i="20"/>
  <c r="S261" i="20"/>
  <c r="S147" i="20"/>
  <c r="S163" i="20"/>
  <c r="S225" i="20"/>
  <c r="S127" i="20"/>
  <c r="S148" i="20"/>
  <c r="R95" i="22"/>
  <c r="S36" i="20"/>
  <c r="S220" i="20"/>
  <c r="S69" i="20"/>
  <c r="S50" i="20"/>
  <c r="S114" i="20"/>
  <c r="S178" i="20"/>
  <c r="S242" i="20"/>
  <c r="S257" i="20"/>
  <c r="S35" i="20"/>
  <c r="S256" i="20"/>
  <c r="S180" i="20"/>
  <c r="S142" i="20"/>
  <c r="AF74" i="3"/>
  <c r="AF115" i="3"/>
  <c r="AF83" i="3"/>
  <c r="Y30" i="29"/>
  <c r="S79" i="20"/>
  <c r="S207" i="20"/>
  <c r="S177" i="20"/>
  <c r="S254" i="20"/>
  <c r="S202" i="20"/>
  <c r="AF72" i="3"/>
  <c r="AF81" i="3"/>
  <c r="AF140" i="3"/>
  <c r="P33" i="29"/>
  <c r="S37" i="20"/>
  <c r="S64" i="20"/>
  <c r="S136" i="20"/>
  <c r="S61" i="20"/>
  <c r="S173" i="20"/>
  <c r="S226" i="20"/>
  <c r="S133" i="20"/>
  <c r="AF143" i="3"/>
  <c r="R91" i="22"/>
  <c r="R89" i="22"/>
  <c r="R90" i="23"/>
  <c r="R92" i="23"/>
  <c r="R93" i="22"/>
  <c r="G4" i="16"/>
  <c r="T4" i="16" s="1"/>
  <c r="F9" i="20"/>
  <c r="G9" i="20" s="1"/>
  <c r="P5" i="21"/>
  <c r="P7" i="21" s="1"/>
  <c r="F20" i="20"/>
  <c r="G20" i="20" s="1"/>
  <c r="C43" i="17"/>
  <c r="C57" i="17" s="1"/>
  <c r="Q10" i="30" s="1"/>
  <c r="F31" i="20"/>
  <c r="G31" i="20" s="1"/>
  <c r="G137" i="16"/>
  <c r="Y145" i="20" s="1"/>
  <c r="G135" i="16"/>
  <c r="T135" i="16" s="1"/>
  <c r="C42" i="17"/>
  <c r="C56" i="17" s="1"/>
  <c r="Q9" i="30" s="1"/>
  <c r="C46" i="17"/>
  <c r="C44" i="17"/>
  <c r="C41" i="17"/>
  <c r="C55" i="17" s="1"/>
  <c r="Q8" i="30" s="1"/>
  <c r="C45" i="17"/>
  <c r="C41" i="27"/>
  <c r="C36" i="27"/>
  <c r="R89" i="23"/>
  <c r="G3" i="16"/>
  <c r="G155" i="16"/>
  <c r="F41" i="20"/>
  <c r="G41" i="20" s="1"/>
  <c r="G251" i="16"/>
  <c r="T251" i="16" s="1"/>
  <c r="G253" i="16"/>
  <c r="Y261" i="20" s="1"/>
  <c r="G197" i="16"/>
  <c r="Y205" i="20" s="1"/>
  <c r="G200" i="16"/>
  <c r="Y208" i="20" s="1"/>
  <c r="G175" i="16"/>
  <c r="T175" i="16" s="1"/>
  <c r="G56" i="16"/>
  <c r="T56" i="16" s="1"/>
  <c r="G172" i="16"/>
  <c r="Y180" i="20" s="1"/>
  <c r="F17" i="20"/>
  <c r="G17" i="20" s="1"/>
  <c r="G173" i="16"/>
  <c r="Y181" i="20" s="1"/>
  <c r="G52" i="16"/>
  <c r="T52" i="16" s="1"/>
  <c r="G53" i="16"/>
  <c r="T53" i="16" s="1"/>
  <c r="G195" i="16"/>
  <c r="Y203" i="20" s="1"/>
  <c r="G51" i="16"/>
  <c r="Y59" i="20" s="1"/>
  <c r="G69" i="16"/>
  <c r="T69" i="16" s="1"/>
  <c r="G174" i="16"/>
  <c r="T174" i="16" s="1"/>
  <c r="G71" i="16"/>
  <c r="Y79" i="20" s="1"/>
  <c r="G54" i="16"/>
  <c r="Y62" i="20" s="1"/>
  <c r="G72" i="16"/>
  <c r="T72" i="16" s="1"/>
  <c r="G176" i="16"/>
  <c r="Y184" i="20" s="1"/>
  <c r="G74" i="16"/>
  <c r="Y82" i="20" s="1"/>
  <c r="G250" i="16"/>
  <c r="T250" i="16" s="1"/>
  <c r="G70" i="16"/>
  <c r="G199" i="16"/>
  <c r="Y207" i="20" s="1"/>
  <c r="G196" i="16"/>
  <c r="T196" i="16" s="1"/>
  <c r="G252" i="16"/>
  <c r="Y260" i="20" s="1"/>
  <c r="G171" i="16"/>
  <c r="T171" i="16" s="1"/>
  <c r="G249" i="16"/>
  <c r="Y257" i="20" s="1"/>
  <c r="G254" i="16"/>
  <c r="Y262" i="20" s="1"/>
  <c r="C40" i="27"/>
  <c r="C35" i="27"/>
  <c r="C44" i="27"/>
  <c r="C38" i="27"/>
  <c r="C33" i="27"/>
  <c r="C34" i="27"/>
  <c r="C42" i="27"/>
  <c r="C37" i="27"/>
  <c r="G240" i="16"/>
  <c r="T240" i="16" s="1"/>
  <c r="G242" i="16"/>
  <c r="T242" i="16" s="1"/>
  <c r="C19" i="3"/>
  <c r="C40" i="3" s="1"/>
  <c r="G154" i="16"/>
  <c r="Y162" i="20" s="1"/>
  <c r="G138" i="16"/>
  <c r="T138" i="16" s="1"/>
  <c r="G139" i="16"/>
  <c r="Y147" i="20" s="1"/>
  <c r="G207" i="16"/>
  <c r="T207" i="16" s="1"/>
  <c r="G140" i="16"/>
  <c r="Y148" i="20" s="1"/>
  <c r="G213" i="16"/>
  <c r="T213" i="16" s="1"/>
  <c r="C43" i="27"/>
  <c r="C39" i="27"/>
  <c r="G210" i="16"/>
  <c r="T210" i="16" s="1"/>
  <c r="G212" i="16"/>
  <c r="Y220" i="20" s="1"/>
  <c r="G158" i="16"/>
  <c r="T158" i="16" s="1"/>
  <c r="G157" i="16"/>
  <c r="T157" i="16" s="1"/>
  <c r="G156" i="16"/>
  <c r="Y164" i="20" s="1"/>
  <c r="F43" i="20"/>
  <c r="G43" i="20" s="1"/>
  <c r="F48" i="20"/>
  <c r="G48" i="20" s="1"/>
  <c r="G153" i="16"/>
  <c r="Y161" i="20" s="1"/>
  <c r="B23" i="18"/>
  <c r="R94" i="22"/>
  <c r="R95" i="23"/>
  <c r="G166" i="16"/>
  <c r="T166" i="16" s="1"/>
  <c r="R93" i="23"/>
  <c r="R90" i="22"/>
  <c r="R92" i="22"/>
  <c r="R91" i="23"/>
  <c r="I29" i="23"/>
  <c r="I30" i="23" s="1"/>
  <c r="G39" i="16"/>
  <c r="Y47" i="20" s="1"/>
  <c r="F15" i="20"/>
  <c r="G15" i="20" s="1"/>
  <c r="G130" i="16"/>
  <c r="Y138" i="20" s="1"/>
  <c r="G89" i="16"/>
  <c r="T89" i="16" s="1"/>
  <c r="G239" i="16"/>
  <c r="Y247" i="20" s="1"/>
  <c r="G237" i="16"/>
  <c r="T237" i="16" s="1"/>
  <c r="G241" i="16"/>
  <c r="D106" i="4"/>
  <c r="G92" i="16"/>
  <c r="T92" i="16" s="1"/>
  <c r="E53" i="5"/>
  <c r="F53" i="5" s="1"/>
  <c r="G53" i="5" s="1"/>
  <c r="H53" i="5" s="1"/>
  <c r="I53" i="5" s="1"/>
  <c r="J53" i="5" s="1"/>
  <c r="K53" i="5" s="1"/>
  <c r="L53" i="5" s="1"/>
  <c r="M53" i="5" s="1"/>
  <c r="N53" i="5" s="1"/>
  <c r="O53" i="5" s="1"/>
  <c r="P53" i="5" s="1"/>
  <c r="Q53" i="5" s="1"/>
  <c r="R53" i="5" s="1"/>
  <c r="S53" i="5" s="1"/>
  <c r="T53" i="5" s="1"/>
  <c r="U53" i="5" s="1"/>
  <c r="V53" i="5" s="1"/>
  <c r="W53" i="5" s="1"/>
  <c r="X53" i="5" s="1"/>
  <c r="Y53" i="5" s="1"/>
  <c r="Z53" i="5" s="1"/>
  <c r="AA53" i="5" s="1"/>
  <c r="AB53" i="5" s="1"/>
  <c r="AC53" i="5" s="1"/>
  <c r="AD53" i="5" s="1"/>
  <c r="AE53" i="5" s="1"/>
  <c r="AF53" i="5" s="1"/>
  <c r="AG53" i="5" s="1"/>
  <c r="AH53" i="5" s="1"/>
  <c r="C23" i="28"/>
  <c r="A85" i="28" s="1"/>
  <c r="G132" i="16"/>
  <c r="G129" i="16"/>
  <c r="Y137" i="20" s="1"/>
  <c r="G40" i="16"/>
  <c r="T40" i="16" s="1"/>
  <c r="G90" i="16"/>
  <c r="T90" i="16" s="1"/>
  <c r="F23" i="20"/>
  <c r="G23" i="20" s="1"/>
  <c r="G42" i="16"/>
  <c r="Y50" i="20" s="1"/>
  <c r="G133" i="16"/>
  <c r="T133" i="16" s="1"/>
  <c r="F30" i="20"/>
  <c r="G30" i="20" s="1"/>
  <c r="G28" i="10"/>
  <c r="G43" i="16"/>
  <c r="T43" i="16" s="1"/>
  <c r="G131" i="16"/>
  <c r="T131" i="16" s="1"/>
  <c r="G87" i="16"/>
  <c r="T87" i="16" s="1"/>
  <c r="G41" i="16"/>
  <c r="T41" i="16" s="1"/>
  <c r="C80" i="3"/>
  <c r="D96" i="3" s="1"/>
  <c r="G91" i="16"/>
  <c r="Y99" i="20" s="1"/>
  <c r="G123" i="16"/>
  <c r="G168" i="16"/>
  <c r="Y176" i="20" s="1"/>
  <c r="C113" i="3"/>
  <c r="AG113" i="3" s="1"/>
  <c r="G125" i="16"/>
  <c r="Y133" i="20" s="1"/>
  <c r="G222" i="16"/>
  <c r="T222" i="16" s="1"/>
  <c r="G128" i="16"/>
  <c r="T128" i="16" s="1"/>
  <c r="G165" i="16"/>
  <c r="G224" i="16"/>
  <c r="Y232" i="20" s="1"/>
  <c r="C71" i="3"/>
  <c r="D87" i="3" s="1"/>
  <c r="E10" i="4" s="1"/>
  <c r="G46" i="16"/>
  <c r="Y54" i="20" s="1"/>
  <c r="G8" i="16"/>
  <c r="T8" i="16" s="1"/>
  <c r="D23" i="28"/>
  <c r="A91" i="28" s="1"/>
  <c r="G126" i="16"/>
  <c r="T126" i="16" s="1"/>
  <c r="G167" i="16"/>
  <c r="Y175" i="20" s="1"/>
  <c r="G170" i="16"/>
  <c r="Y178" i="20" s="1"/>
  <c r="G45" i="16"/>
  <c r="T45" i="16" s="1"/>
  <c r="G124" i="16"/>
  <c r="T124" i="16" s="1"/>
  <c r="G219" i="16"/>
  <c r="Y227" i="20" s="1"/>
  <c r="G7" i="16"/>
  <c r="Y15" i="20" s="1"/>
  <c r="G223" i="16"/>
  <c r="T223" i="16" s="1"/>
  <c r="G48" i="16"/>
  <c r="T48" i="16" s="1"/>
  <c r="F16" i="20"/>
  <c r="G16" i="20" s="1"/>
  <c r="F29" i="20"/>
  <c r="G29" i="20" s="1"/>
  <c r="C73" i="3"/>
  <c r="D89" i="3" s="1"/>
  <c r="E12" i="4" s="1"/>
  <c r="R695" i="15"/>
  <c r="G5" i="16"/>
  <c r="Y13" i="20" s="1"/>
  <c r="G6" i="16"/>
  <c r="T6" i="16" s="1"/>
  <c r="G49" i="16"/>
  <c r="Y57" i="20" s="1"/>
  <c r="F36" i="20"/>
  <c r="G36" i="20" s="1"/>
  <c r="F45" i="20"/>
  <c r="G45" i="20" s="1"/>
  <c r="Z40" i="14"/>
  <c r="C79" i="3"/>
  <c r="D95" i="3" s="1"/>
  <c r="C78" i="3"/>
  <c r="AG78" i="3" s="1"/>
  <c r="AI15" i="4" s="1"/>
  <c r="E107" i="4"/>
  <c r="E127" i="4" s="1"/>
  <c r="AA22" i="16"/>
  <c r="P700" i="15"/>
  <c r="G47" i="16"/>
  <c r="Y55" i="20" s="1"/>
  <c r="G221" i="16"/>
  <c r="T221" i="16" s="1"/>
  <c r="W3" i="14"/>
  <c r="W20" i="14"/>
  <c r="AH76" i="4"/>
  <c r="C75" i="3"/>
  <c r="D91" i="3" s="1"/>
  <c r="R678" i="15"/>
  <c r="O729" i="15"/>
  <c r="R735" i="15"/>
  <c r="R781" i="15"/>
  <c r="AB138" i="16"/>
  <c r="AA133" i="16"/>
  <c r="AB198" i="16"/>
  <c r="T151" i="16"/>
  <c r="Y226" i="20"/>
  <c r="T218" i="16"/>
  <c r="W31" i="14"/>
  <c r="T45" i="23"/>
  <c r="T60" i="22"/>
  <c r="S146" i="20"/>
  <c r="AA85" i="16"/>
  <c r="AB22" i="16"/>
  <c r="R687" i="15"/>
  <c r="S736" i="15"/>
  <c r="S788" i="15"/>
  <c r="N740" i="15"/>
  <c r="AA43" i="16"/>
  <c r="Q711" i="15"/>
  <c r="AB189" i="16"/>
  <c r="AA50" i="16"/>
  <c r="AB143" i="16"/>
  <c r="AB140" i="16"/>
  <c r="P752" i="15"/>
  <c r="AA73" i="14"/>
  <c r="Z49" i="14"/>
  <c r="E10" i="24"/>
  <c r="B10" i="24"/>
  <c r="G10" i="24"/>
  <c r="T46" i="23"/>
  <c r="T53" i="23"/>
  <c r="Q737" i="15"/>
  <c r="AA116" i="16"/>
  <c r="R710" i="15"/>
  <c r="AA253" i="16"/>
  <c r="O761" i="15"/>
  <c r="O717" i="15"/>
  <c r="R767" i="15"/>
  <c r="R727" i="15"/>
  <c r="R683" i="15"/>
  <c r="R787" i="15"/>
  <c r="S696" i="15"/>
  <c r="S716" i="15"/>
  <c r="S738" i="15"/>
  <c r="S762" i="15"/>
  <c r="N682" i="15"/>
  <c r="N714" i="15"/>
  <c r="N746" i="15"/>
  <c r="N778" i="15"/>
  <c r="AA39" i="16"/>
  <c r="Q771" i="15"/>
  <c r="Q707" i="15"/>
  <c r="AB64" i="16"/>
  <c r="AA156" i="16"/>
  <c r="AA149" i="16"/>
  <c r="AB43" i="16"/>
  <c r="AB239" i="16"/>
  <c r="AB50" i="16"/>
  <c r="AA166" i="16"/>
  <c r="AB230" i="16"/>
  <c r="Q696" i="15"/>
  <c r="Y246" i="20"/>
  <c r="T238" i="16"/>
  <c r="AA181" i="16"/>
  <c r="AA141" i="16"/>
  <c r="Z8" i="14"/>
  <c r="X17" i="14"/>
  <c r="W70" i="14"/>
  <c r="W67" i="14"/>
  <c r="AA54" i="14"/>
  <c r="E16" i="4"/>
  <c r="Y33" i="29"/>
  <c r="T94" i="23"/>
  <c r="T74" i="22"/>
  <c r="Q745" i="15"/>
  <c r="R762" i="15"/>
  <c r="O769" i="15"/>
  <c r="Q781" i="15"/>
  <c r="S690" i="15"/>
  <c r="S732" i="15"/>
  <c r="S786" i="15"/>
  <c r="N738" i="15"/>
  <c r="AA183" i="16"/>
  <c r="AB253" i="16"/>
  <c r="AA73" i="16"/>
  <c r="R748" i="15"/>
  <c r="AA25" i="14"/>
  <c r="Q741" i="15"/>
  <c r="O681" i="15"/>
  <c r="R731" i="15"/>
  <c r="S714" i="15"/>
  <c r="S756" i="15"/>
  <c r="N708" i="15"/>
  <c r="N772" i="15"/>
  <c r="Q775" i="15"/>
  <c r="AB61" i="16"/>
  <c r="AA36" i="16"/>
  <c r="AB139" i="16"/>
  <c r="AB111" i="16"/>
  <c r="AB105" i="16"/>
  <c r="AB214" i="16"/>
  <c r="R737" i="15"/>
  <c r="AA213" i="16"/>
  <c r="Q779" i="15"/>
  <c r="Y156" i="20"/>
  <c r="T148" i="16"/>
  <c r="G30" i="10"/>
  <c r="F30" i="10"/>
  <c r="X51" i="14"/>
  <c r="W47" i="14"/>
  <c r="AA38" i="14"/>
  <c r="U33" i="29"/>
  <c r="AA32" i="29"/>
  <c r="AA33" i="29" s="1"/>
  <c r="V31" i="29"/>
  <c r="V33" i="29" s="1"/>
  <c r="Q30" i="29"/>
  <c r="Q33" i="29" s="1"/>
  <c r="T67" i="23"/>
  <c r="Q777" i="15"/>
  <c r="Q693" i="15"/>
  <c r="AA16" i="16"/>
  <c r="R754" i="15"/>
  <c r="T31" i="22"/>
  <c r="T87" i="22"/>
  <c r="S174" i="20"/>
  <c r="S125" i="20"/>
  <c r="Y125" i="20" s="1"/>
  <c r="S153" i="20"/>
  <c r="S44" i="20"/>
  <c r="S39" i="20"/>
  <c r="S103" i="20"/>
  <c r="S167" i="20"/>
  <c r="Y167" i="20" s="1"/>
  <c r="S231" i="20"/>
  <c r="S258" i="20"/>
  <c r="AA69" i="16"/>
  <c r="Q773" i="15"/>
  <c r="Q729" i="15"/>
  <c r="Q689" i="15"/>
  <c r="AA10" i="16"/>
  <c r="R746" i="15"/>
  <c r="R706" i="15"/>
  <c r="O753" i="15"/>
  <c r="O713" i="15"/>
  <c r="AB97" i="16"/>
  <c r="R763" i="15"/>
  <c r="R719" i="15"/>
  <c r="R679" i="15"/>
  <c r="S698" i="15"/>
  <c r="S720" i="15"/>
  <c r="S740" i="15"/>
  <c r="S764" i="15"/>
  <c r="N684" i="15"/>
  <c r="N716" i="15"/>
  <c r="N748" i="15"/>
  <c r="N780" i="15"/>
  <c r="AA106" i="16"/>
  <c r="Q759" i="15"/>
  <c r="Q695" i="15"/>
  <c r="AA48" i="16"/>
  <c r="AB100" i="16"/>
  <c r="AB70" i="16"/>
  <c r="AA179" i="16"/>
  <c r="AA211" i="16"/>
  <c r="AA182" i="16"/>
  <c r="AB246" i="16"/>
  <c r="Y235" i="20"/>
  <c r="T227" i="16"/>
  <c r="Y104" i="20"/>
  <c r="T96" i="16"/>
  <c r="Y72" i="20"/>
  <c r="T64" i="16"/>
  <c r="Y109" i="20"/>
  <c r="T101" i="16"/>
  <c r="Y74" i="20"/>
  <c r="T66" i="16"/>
  <c r="R697" i="15"/>
  <c r="AA3" i="16"/>
  <c r="AA8" i="16"/>
  <c r="AA6" i="16"/>
  <c r="AA7" i="16"/>
  <c r="AA4" i="16"/>
  <c r="T160" i="16"/>
  <c r="Z43" i="14"/>
  <c r="W53" i="14"/>
  <c r="X13" i="14"/>
  <c r="AA83" i="14"/>
  <c r="AA70" i="14"/>
  <c r="D44" i="4"/>
  <c r="M3" i="7"/>
  <c r="N3" i="7" s="1"/>
  <c r="P715" i="15"/>
  <c r="Y67" i="20"/>
  <c r="T59" i="16"/>
  <c r="Y217" i="20"/>
  <c r="T209" i="16"/>
  <c r="AA22" i="14"/>
  <c r="Q84" i="30"/>
  <c r="H33" i="29"/>
  <c r="Q697" i="15"/>
  <c r="O721" i="15"/>
  <c r="S692" i="15"/>
  <c r="T88" i="22"/>
  <c r="S259" i="20"/>
  <c r="Q725" i="15"/>
  <c r="AB128" i="16"/>
  <c r="AA105" i="16"/>
  <c r="O679" i="15"/>
  <c r="W33" i="14"/>
  <c r="M6" i="7"/>
  <c r="N6" i="7" s="1"/>
  <c r="D74" i="4"/>
  <c r="O6" i="7" s="1"/>
  <c r="T94" i="22"/>
  <c r="T31" i="23"/>
  <c r="R785" i="15"/>
  <c r="Q769" i="15"/>
  <c r="Q681" i="15"/>
  <c r="S700" i="15"/>
  <c r="N690" i="15"/>
  <c r="N786" i="15"/>
  <c r="AA97" i="16"/>
  <c r="AB181" i="16"/>
  <c r="AA92" i="16"/>
  <c r="AA198" i="16"/>
  <c r="AB4" i="16"/>
  <c r="Y142" i="20"/>
  <c r="T134" i="16"/>
  <c r="AB254" i="16"/>
  <c r="AA254" i="16"/>
  <c r="AA11" i="14"/>
  <c r="AA86" i="14"/>
  <c r="F10" i="24"/>
  <c r="T67" i="22"/>
  <c r="T80" i="22"/>
  <c r="T39" i="22"/>
  <c r="T25" i="23"/>
  <c r="T25" i="22"/>
  <c r="S182" i="20"/>
  <c r="S68" i="20"/>
  <c r="Q761" i="15"/>
  <c r="Q721" i="15"/>
  <c r="AB185" i="16"/>
  <c r="P780" i="15"/>
  <c r="R738" i="15"/>
  <c r="R694" i="15"/>
  <c r="AB115" i="16"/>
  <c r="Q786" i="15"/>
  <c r="O745" i="15"/>
  <c r="O701" i="15"/>
  <c r="AB161" i="16"/>
  <c r="R751" i="15"/>
  <c r="R711" i="15"/>
  <c r="N705" i="15"/>
  <c r="S682" i="15"/>
  <c r="S704" i="15"/>
  <c r="S724" i="15"/>
  <c r="S746" i="15"/>
  <c r="S772" i="15"/>
  <c r="N692" i="15"/>
  <c r="N724" i="15"/>
  <c r="N756" i="15"/>
  <c r="N788" i="15"/>
  <c r="AA90" i="16"/>
  <c r="Q743" i="15"/>
  <c r="Q679" i="15"/>
  <c r="P744" i="15"/>
  <c r="AB83" i="16"/>
  <c r="AB54" i="16"/>
  <c r="AB184" i="16"/>
  <c r="AB182" i="16"/>
  <c r="AA28" i="16"/>
  <c r="AA150" i="16"/>
  <c r="AB213" i="16"/>
  <c r="AB37" i="16"/>
  <c r="AB69" i="16"/>
  <c r="AA124" i="16"/>
  <c r="AA160" i="16"/>
  <c r="AA86" i="16"/>
  <c r="AA161" i="16"/>
  <c r="AA214" i="16"/>
  <c r="AA229" i="16"/>
  <c r="AB155" i="16"/>
  <c r="O731" i="15"/>
  <c r="AB113" i="16"/>
  <c r="O739" i="15"/>
  <c r="T152" i="16"/>
  <c r="Y117" i="20"/>
  <c r="T109" i="16"/>
  <c r="Q720" i="15"/>
  <c r="X62" i="14"/>
  <c r="AA27" i="14"/>
  <c r="X30" i="14"/>
  <c r="AA55" i="14"/>
  <c r="Z56" i="14"/>
  <c r="D126" i="4"/>
  <c r="D137" i="4"/>
  <c r="C141" i="3"/>
  <c r="AG141" i="3" s="1"/>
  <c r="C146" i="3"/>
  <c r="AG146" i="3" s="1"/>
  <c r="C145" i="3"/>
  <c r="AG145" i="3" s="1"/>
  <c r="C149" i="3"/>
  <c r="C148" i="3"/>
  <c r="C138" i="3"/>
  <c r="C137" i="3"/>
  <c r="AG137" i="3" s="1"/>
  <c r="AI28" i="4" s="1"/>
  <c r="C147" i="3"/>
  <c r="C139" i="3"/>
  <c r="C142" i="3"/>
  <c r="C150" i="3"/>
  <c r="C143" i="3"/>
  <c r="AG143" i="3" s="1"/>
  <c r="AI32" i="4" s="1"/>
  <c r="C140" i="3"/>
  <c r="AG140" i="3" s="1"/>
  <c r="AI31" i="4" s="1"/>
  <c r="T81" i="22"/>
  <c r="AA145" i="16"/>
  <c r="Q705" i="15"/>
  <c r="R722" i="15"/>
  <c r="R758" i="15"/>
  <c r="B33" i="29"/>
  <c r="L33" i="29"/>
  <c r="AB219" i="16"/>
  <c r="R698" i="15"/>
  <c r="O705" i="15"/>
  <c r="R715" i="15"/>
  <c r="S722" i="15"/>
  <c r="S770" i="15"/>
  <c r="N754" i="15"/>
  <c r="AA31" i="16"/>
  <c r="Y45" i="20"/>
  <c r="T37" i="16"/>
  <c r="AA72" i="14"/>
  <c r="W32" i="14"/>
  <c r="S249" i="20"/>
  <c r="AA205" i="16"/>
  <c r="Q757" i="15"/>
  <c r="Q713" i="15"/>
  <c r="R774" i="15"/>
  <c r="R690" i="15"/>
  <c r="O780" i="15"/>
  <c r="O737" i="15"/>
  <c r="O697" i="15"/>
  <c r="R747" i="15"/>
  <c r="R703" i="15"/>
  <c r="S684" i="15"/>
  <c r="S706" i="15"/>
  <c r="S728" i="15"/>
  <c r="S748" i="15"/>
  <c r="S778" i="15"/>
  <c r="N698" i="15"/>
  <c r="N730" i="15"/>
  <c r="N762" i="15"/>
  <c r="AB20" i="16"/>
  <c r="Q739" i="15"/>
  <c r="AA24" i="16"/>
  <c r="AA5" i="16"/>
  <c r="AA56" i="16"/>
  <c r="AB45" i="16"/>
  <c r="AA201" i="16"/>
  <c r="AB170" i="16"/>
  <c r="AB221" i="16"/>
  <c r="AB104" i="16"/>
  <c r="AA230" i="16"/>
  <c r="P692" i="15"/>
  <c r="AB18" i="16"/>
  <c r="Q748" i="15"/>
  <c r="T245" i="16"/>
  <c r="Y198" i="20"/>
  <c r="T190" i="16"/>
  <c r="Y214" i="20"/>
  <c r="T206" i="16"/>
  <c r="F35" i="10"/>
  <c r="G35" i="10"/>
  <c r="G85" i="16"/>
  <c r="F22" i="20"/>
  <c r="G22" i="20" s="1"/>
  <c r="G84" i="16"/>
  <c r="G82" i="16"/>
  <c r="G83" i="16"/>
  <c r="G86" i="16"/>
  <c r="AB3" i="16"/>
  <c r="W41" i="14"/>
  <c r="W86" i="14"/>
  <c r="X52" i="14"/>
  <c r="X73" i="14"/>
  <c r="Z72" i="14"/>
  <c r="T18" i="23"/>
  <c r="AA18" i="16"/>
  <c r="C32" i="18"/>
  <c r="C33" i="18" s="1"/>
  <c r="D30" i="18"/>
  <c r="O685" i="15"/>
  <c r="S745" i="15"/>
  <c r="S737" i="15"/>
  <c r="S729" i="15"/>
  <c r="S721" i="15"/>
  <c r="S713" i="15"/>
  <c r="S705" i="15"/>
  <c r="S697" i="15"/>
  <c r="S689" i="15"/>
  <c r="S681" i="15"/>
  <c r="R786" i="15"/>
  <c r="R778" i="15"/>
  <c r="P686" i="15"/>
  <c r="P702" i="15"/>
  <c r="P718" i="15"/>
  <c r="P734" i="15"/>
  <c r="P750" i="15"/>
  <c r="P766" i="15"/>
  <c r="O783" i="15"/>
  <c r="AB166" i="16"/>
  <c r="Q686" i="15"/>
  <c r="Q702" i="15"/>
  <c r="Q718" i="15"/>
  <c r="Q734" i="15"/>
  <c r="Q750" i="15"/>
  <c r="Q766" i="15"/>
  <c r="P783" i="15"/>
  <c r="AA107" i="16"/>
  <c r="P681" i="15"/>
  <c r="P697" i="15"/>
  <c r="P713" i="15"/>
  <c r="P729" i="15"/>
  <c r="P745" i="15"/>
  <c r="P761" i="15"/>
  <c r="P777" i="15"/>
  <c r="AA13" i="16"/>
  <c r="AB75" i="16"/>
  <c r="AA144" i="16"/>
  <c r="AB211" i="16"/>
  <c r="O680" i="15"/>
  <c r="O696" i="15"/>
  <c r="O712" i="15"/>
  <c r="O728" i="15"/>
  <c r="O744" i="15"/>
  <c r="O760" i="15"/>
  <c r="O776" i="15"/>
  <c r="AA38" i="16"/>
  <c r="P781" i="15"/>
  <c r="AB118" i="16"/>
  <c r="N784" i="15"/>
  <c r="N768" i="15"/>
  <c r="N752" i="15"/>
  <c r="N736" i="15"/>
  <c r="N720" i="15"/>
  <c r="N704" i="15"/>
  <c r="N688" i="15"/>
  <c r="S784" i="15"/>
  <c r="S768" i="15"/>
  <c r="Q763" i="15"/>
  <c r="AB251" i="16"/>
  <c r="N776" i="15"/>
  <c r="N760" i="15"/>
  <c r="N744" i="15"/>
  <c r="N728" i="15"/>
  <c r="N712" i="15"/>
  <c r="N696" i="15"/>
  <c r="N680" i="15"/>
  <c r="S776" i="15"/>
  <c r="S760" i="15"/>
  <c r="P690" i="15"/>
  <c r="P706" i="15"/>
  <c r="P722" i="15"/>
  <c r="P738" i="15"/>
  <c r="P754" i="15"/>
  <c r="P770" i="15"/>
  <c r="AB119" i="16"/>
  <c r="AB195" i="16"/>
  <c r="Q690" i="15"/>
  <c r="Q706" i="15"/>
  <c r="Q722" i="15"/>
  <c r="Q738" i="15"/>
  <c r="Q754" i="15"/>
  <c r="Q770" i="15"/>
  <c r="O788" i="15"/>
  <c r="AA65" i="16"/>
  <c r="P685" i="15"/>
  <c r="P701" i="15"/>
  <c r="P717" i="15"/>
  <c r="P733" i="15"/>
  <c r="P749" i="15"/>
  <c r="P765" i="15"/>
  <c r="Q783" i="15"/>
  <c r="AB19" i="16"/>
  <c r="AB168" i="16"/>
  <c r="O684" i="15"/>
  <c r="O700" i="15"/>
  <c r="O716" i="15"/>
  <c r="O732" i="15"/>
  <c r="O748" i="15"/>
  <c r="O764" i="15"/>
  <c r="Q780" i="15"/>
  <c r="AB26" i="16"/>
  <c r="AA42" i="16"/>
  <c r="AA101" i="16"/>
  <c r="P705" i="15"/>
  <c r="P753" i="15"/>
  <c r="O720" i="15"/>
  <c r="O752" i="15"/>
  <c r="P785" i="15"/>
  <c r="AB116" i="16"/>
  <c r="AA35" i="16"/>
  <c r="AA74" i="16"/>
  <c r="N782" i="15"/>
  <c r="N774" i="15"/>
  <c r="N766" i="15"/>
  <c r="N758" i="15"/>
  <c r="N750" i="15"/>
  <c r="N742" i="15"/>
  <c r="N734" i="15"/>
  <c r="N726" i="15"/>
  <c r="N718" i="15"/>
  <c r="N710" i="15"/>
  <c r="N702" i="15"/>
  <c r="N694" i="15"/>
  <c r="N686" i="15"/>
  <c r="N678" i="15"/>
  <c r="S782" i="15"/>
  <c r="S774" i="15"/>
  <c r="S766" i="15"/>
  <c r="S758" i="15"/>
  <c r="S750" i="15"/>
  <c r="S742" i="15"/>
  <c r="S734" i="15"/>
  <c r="S726" i="15"/>
  <c r="S718" i="15"/>
  <c r="S710" i="15"/>
  <c r="S702" i="15"/>
  <c r="S694" i="15"/>
  <c r="S686" i="15"/>
  <c r="S678" i="15"/>
  <c r="R783" i="15"/>
  <c r="R691" i="15"/>
  <c r="R707" i="15"/>
  <c r="R723" i="15"/>
  <c r="R739" i="15"/>
  <c r="R755" i="15"/>
  <c r="R771" i="15"/>
  <c r="AA245" i="16"/>
  <c r="O677" i="15"/>
  <c r="O693" i="15"/>
  <c r="O709" i="15"/>
  <c r="O725" i="15"/>
  <c r="O741" i="15"/>
  <c r="O757" i="15"/>
  <c r="O773" i="15"/>
  <c r="AB5" i="16"/>
  <c r="AA68" i="16"/>
  <c r="AA148" i="16"/>
  <c r="R686" i="15"/>
  <c r="R702" i="15"/>
  <c r="R718" i="15"/>
  <c r="R734" i="15"/>
  <c r="R750" i="15"/>
  <c r="R766" i="15"/>
  <c r="O785" i="15"/>
  <c r="AB91" i="16"/>
  <c r="AB173" i="16"/>
  <c r="Q685" i="15"/>
  <c r="Q701" i="15"/>
  <c r="Q717" i="15"/>
  <c r="Q733" i="15"/>
  <c r="Q749" i="15"/>
  <c r="Q765" i="15"/>
  <c r="O782" i="15"/>
  <c r="AA112" i="16"/>
  <c r="P689" i="15"/>
  <c r="P737" i="15"/>
  <c r="P788" i="15"/>
  <c r="O704" i="15"/>
  <c r="O736" i="15"/>
  <c r="AB65" i="16"/>
  <c r="AB16" i="16"/>
  <c r="O690" i="15"/>
  <c r="O706" i="15"/>
  <c r="O722" i="15"/>
  <c r="O738" i="15"/>
  <c r="O754" i="15"/>
  <c r="O770" i="15"/>
  <c r="AB11" i="16"/>
  <c r="AA171" i="16"/>
  <c r="N781" i="15"/>
  <c r="N773" i="15"/>
  <c r="N765" i="15"/>
  <c r="N757" i="15"/>
  <c r="N749" i="15"/>
  <c r="N741" i="15"/>
  <c r="N733" i="15"/>
  <c r="N725" i="15"/>
  <c r="N717" i="15"/>
  <c r="N709" i="15"/>
  <c r="N701" i="15"/>
  <c r="N693" i="15"/>
  <c r="N685" i="15"/>
  <c r="N677" i="15"/>
  <c r="S781" i="15"/>
  <c r="S773" i="15"/>
  <c r="S765" i="15"/>
  <c r="S757" i="15"/>
  <c r="S749" i="15"/>
  <c r="S741" i="15"/>
  <c r="S733" i="15"/>
  <c r="S725" i="15"/>
  <c r="S717" i="15"/>
  <c r="S709" i="15"/>
  <c r="S701" i="15"/>
  <c r="S693" i="15"/>
  <c r="S685" i="15"/>
  <c r="S677" i="15"/>
  <c r="R782" i="15"/>
  <c r="P678" i="15"/>
  <c r="P694" i="15"/>
  <c r="P710" i="15"/>
  <c r="P726" i="15"/>
  <c r="P742" i="15"/>
  <c r="P758" i="15"/>
  <c r="P774" i="15"/>
  <c r="AB74" i="16"/>
  <c r="AA139" i="16"/>
  <c r="Q678" i="15"/>
  <c r="Q694" i="15"/>
  <c r="Q710" i="15"/>
  <c r="Q726" i="15"/>
  <c r="Q742" i="15"/>
  <c r="Q758" i="15"/>
  <c r="Q774" i="15"/>
  <c r="AA157" i="16"/>
  <c r="P721" i="15"/>
  <c r="P769" i="15"/>
  <c r="O688" i="15"/>
  <c r="O768" i="15"/>
  <c r="AB17" i="16"/>
  <c r="AB41" i="16"/>
  <c r="AB188" i="16"/>
  <c r="N787" i="15"/>
  <c r="N779" i="15"/>
  <c r="N771" i="15"/>
  <c r="N763" i="15"/>
  <c r="N755" i="15"/>
  <c r="N747" i="15"/>
  <c r="N739" i="15"/>
  <c r="N731" i="15"/>
  <c r="N723" i="15"/>
  <c r="N715" i="15"/>
  <c r="N707" i="15"/>
  <c r="N699" i="15"/>
  <c r="N691" i="15"/>
  <c r="N683" i="15"/>
  <c r="S787" i="15"/>
  <c r="S779" i="15"/>
  <c r="S771" i="15"/>
  <c r="S763" i="15"/>
  <c r="S755" i="15"/>
  <c r="S747" i="15"/>
  <c r="S739" i="15"/>
  <c r="S731" i="15"/>
  <c r="S723" i="15"/>
  <c r="S715" i="15"/>
  <c r="S707" i="15"/>
  <c r="S699" i="15"/>
  <c r="S691" i="15"/>
  <c r="S683" i="15"/>
  <c r="R788" i="15"/>
  <c r="R780" i="15"/>
  <c r="P682" i="15"/>
  <c r="P698" i="15"/>
  <c r="P714" i="15"/>
  <c r="P730" i="15"/>
  <c r="P746" i="15"/>
  <c r="P762" i="15"/>
  <c r="P778" i="15"/>
  <c r="AB90" i="16"/>
  <c r="Q682" i="15"/>
  <c r="Q698" i="15"/>
  <c r="Q714" i="15"/>
  <c r="Q730" i="15"/>
  <c r="Q746" i="15"/>
  <c r="Q762" i="15"/>
  <c r="Q778" i="15"/>
  <c r="AA91" i="16"/>
  <c r="AB203" i="16"/>
  <c r="P677" i="15"/>
  <c r="P693" i="15"/>
  <c r="P709" i="15"/>
  <c r="P725" i="15"/>
  <c r="P741" i="15"/>
  <c r="P757" i="15"/>
  <c r="P773" i="15"/>
  <c r="AB6" i="16"/>
  <c r="AA197" i="16"/>
  <c r="O692" i="15"/>
  <c r="O708" i="15"/>
  <c r="O724" i="15"/>
  <c r="O740" i="15"/>
  <c r="O756" i="15"/>
  <c r="O772" i="15"/>
  <c r="S712" i="15"/>
  <c r="S754" i="15"/>
  <c r="N706" i="15"/>
  <c r="N770" i="15"/>
  <c r="Q723" i="15"/>
  <c r="AB8" i="16"/>
  <c r="AB132" i="16"/>
  <c r="AA104" i="16"/>
  <c r="AA185" i="16"/>
  <c r="AA146" i="16"/>
  <c r="H26" i="24"/>
  <c r="Q788" i="15"/>
  <c r="R714" i="15"/>
  <c r="O765" i="15"/>
  <c r="R775" i="15"/>
  <c r="N19" i="27"/>
  <c r="T45" i="22"/>
  <c r="T18" i="22"/>
  <c r="S145" i="20"/>
  <c r="R742" i="15"/>
  <c r="O749" i="15"/>
  <c r="AB183" i="16"/>
  <c r="R759" i="15"/>
  <c r="S680" i="15"/>
  <c r="S744" i="15"/>
  <c r="N722" i="15"/>
  <c r="Q755" i="15"/>
  <c r="Q691" i="15"/>
  <c r="AB131" i="16"/>
  <c r="AA120" i="16"/>
  <c r="AA127" i="16"/>
  <c r="AA243" i="16"/>
  <c r="R776" i="15"/>
  <c r="Q677" i="15"/>
  <c r="W83" i="14"/>
  <c r="AA79" i="14"/>
  <c r="T66" i="22"/>
  <c r="T60" i="23"/>
  <c r="S107" i="20"/>
  <c r="Y107" i="20" s="1"/>
  <c r="S221" i="20"/>
  <c r="S140" i="20"/>
  <c r="AB68" i="16"/>
  <c r="R730" i="15"/>
  <c r="O33" i="29"/>
  <c r="B23" i="28"/>
  <c r="A79" i="28" s="1"/>
  <c r="T73" i="22"/>
  <c r="T24" i="22"/>
  <c r="T73" i="23"/>
  <c r="T87" i="23"/>
  <c r="T32" i="23"/>
  <c r="T80" i="23"/>
  <c r="T66" i="23"/>
  <c r="S193" i="20"/>
  <c r="Y193" i="20" s="1"/>
  <c r="S245" i="20"/>
  <c r="S169" i="20"/>
  <c r="S131" i="20"/>
  <c r="Q753" i="15"/>
  <c r="Q709" i="15"/>
  <c r="AB148" i="16"/>
  <c r="R770" i="15"/>
  <c r="R726" i="15"/>
  <c r="R682" i="15"/>
  <c r="AA84" i="16"/>
  <c r="O777" i="15"/>
  <c r="O733" i="15"/>
  <c r="O689" i="15"/>
  <c r="AB147" i="16"/>
  <c r="P786" i="15"/>
  <c r="R743" i="15"/>
  <c r="R699" i="15"/>
  <c r="R779" i="15"/>
  <c r="S688" i="15"/>
  <c r="S708" i="15"/>
  <c r="S730" i="15"/>
  <c r="S752" i="15"/>
  <c r="S780" i="15"/>
  <c r="N700" i="15"/>
  <c r="N732" i="15"/>
  <c r="N764" i="15"/>
  <c r="AA237" i="16"/>
  <c r="AA14" i="16"/>
  <c r="Q727" i="15"/>
  <c r="AA55" i="16"/>
  <c r="AB77" i="16"/>
  <c r="AA249" i="16"/>
  <c r="AB28" i="16"/>
  <c r="AB157" i="16"/>
  <c r="AB245" i="16"/>
  <c r="AB72" i="16"/>
  <c r="AA246" i="16"/>
  <c r="Q756" i="15"/>
  <c r="P707" i="15"/>
  <c r="O695" i="15"/>
  <c r="O703" i="15"/>
  <c r="F27" i="20"/>
  <c r="G27" i="20" s="1"/>
  <c r="G114" i="16"/>
  <c r="G116" i="16"/>
  <c r="G111" i="16"/>
  <c r="G115" i="16"/>
  <c r="G113" i="16"/>
  <c r="G112" i="16"/>
  <c r="Z31" i="14"/>
  <c r="X25" i="14"/>
  <c r="Z4" i="14"/>
  <c r="W49" i="14"/>
  <c r="AA75" i="14"/>
  <c r="AA6" i="14"/>
  <c r="T95" i="23"/>
  <c r="T88" i="23"/>
  <c r="T74" i="23"/>
  <c r="T17" i="23"/>
  <c r="S179" i="20"/>
  <c r="S65" i="20"/>
  <c r="S141" i="20"/>
  <c r="S230" i="20"/>
  <c r="S192" i="20"/>
  <c r="S78" i="20"/>
  <c r="S187" i="20"/>
  <c r="S149" i="20"/>
  <c r="S73" i="20"/>
  <c r="Y73" i="20" s="1"/>
  <c r="S48" i="20"/>
  <c r="S76" i="20"/>
  <c r="S154" i="20"/>
  <c r="Y154" i="20" s="1"/>
  <c r="S43" i="20"/>
  <c r="S11" i="20"/>
  <c r="O774" i="15"/>
  <c r="O758" i="15"/>
  <c r="O742" i="15"/>
  <c r="O726" i="15"/>
  <c r="O710" i="15"/>
  <c r="O694" i="15"/>
  <c r="O678" i="15"/>
  <c r="AB13" i="16"/>
  <c r="AA54" i="16"/>
  <c r="AA62" i="16"/>
  <c r="AB84" i="16"/>
  <c r="AA163" i="16"/>
  <c r="AB55" i="16"/>
  <c r="AB78" i="16"/>
  <c r="AB44" i="16"/>
  <c r="AA193" i="16"/>
  <c r="AB27" i="16"/>
  <c r="AB35" i="16"/>
  <c r="AB46" i="16"/>
  <c r="AA103" i="16"/>
  <c r="AB134" i="16"/>
  <c r="AA187" i="16"/>
  <c r="AB247" i="16"/>
  <c r="AB103" i="16"/>
  <c r="AA117" i="16"/>
  <c r="AA136" i="16"/>
  <c r="AB180" i="16"/>
  <c r="AB217" i="16"/>
  <c r="AB249" i="16"/>
  <c r="AA34" i="16"/>
  <c r="AB53" i="16"/>
  <c r="AB88" i="16"/>
  <c r="AA143" i="16"/>
  <c r="AB34" i="16"/>
  <c r="AA89" i="16"/>
  <c r="AA108" i="16"/>
  <c r="AB127" i="16"/>
  <c r="AA191" i="16"/>
  <c r="AA70" i="16"/>
  <c r="AB89" i="16"/>
  <c r="AB124" i="16"/>
  <c r="AA189" i="16"/>
  <c r="AA215" i="16"/>
  <c r="AA247" i="16"/>
  <c r="AA168" i="16"/>
  <c r="AA184" i="16"/>
  <c r="AA200" i="16"/>
  <c r="AA216" i="16"/>
  <c r="AA232" i="16"/>
  <c r="AA248" i="16"/>
  <c r="AB200" i="16"/>
  <c r="AB216" i="16"/>
  <c r="AB232" i="16"/>
  <c r="AB248" i="16"/>
  <c r="AA142" i="16"/>
  <c r="AB80" i="16"/>
  <c r="R749" i="15"/>
  <c r="Q708" i="15"/>
  <c r="AB227" i="16"/>
  <c r="P772" i="15"/>
  <c r="R728" i="15"/>
  <c r="O683" i="15"/>
  <c r="Q776" i="15"/>
  <c r="P735" i="15"/>
  <c r="R689" i="15"/>
  <c r="AA61" i="16"/>
  <c r="R741" i="15"/>
  <c r="Q700" i="15"/>
  <c r="Q785" i="15"/>
  <c r="R736" i="15"/>
  <c r="O691" i="15"/>
  <c r="P759" i="15"/>
  <c r="Q688" i="15"/>
  <c r="P711" i="15"/>
  <c r="O781" i="15"/>
  <c r="T93" i="16"/>
  <c r="Y21" i="20"/>
  <c r="T13" i="16"/>
  <c r="Y127" i="20"/>
  <c r="T119" i="16"/>
  <c r="T65" i="16"/>
  <c r="Y255" i="20"/>
  <c r="T247" i="16"/>
  <c r="Y70" i="20"/>
  <c r="T62" i="16"/>
  <c r="Y185" i="20"/>
  <c r="T177" i="16"/>
  <c r="Y112" i="20"/>
  <c r="T104" i="16"/>
  <c r="Y87" i="20"/>
  <c r="T79" i="16"/>
  <c r="Y151" i="20"/>
  <c r="T143" i="16"/>
  <c r="T159" i="16"/>
  <c r="G217" i="16"/>
  <c r="Y200" i="20"/>
  <c r="T192" i="16"/>
  <c r="G208" i="16"/>
  <c r="F33" i="10"/>
  <c r="G33" i="10"/>
  <c r="AA109" i="16"/>
  <c r="R713" i="15"/>
  <c r="P712" i="15"/>
  <c r="O751" i="15"/>
  <c r="AB235" i="16"/>
  <c r="F85" i="4"/>
  <c r="E100" i="4"/>
  <c r="E136" i="4" s="1"/>
  <c r="W64" i="14"/>
  <c r="A5" i="28" a="1"/>
  <c r="G36" i="10"/>
  <c r="F36" i="10"/>
  <c r="K5" i="28" a="1"/>
  <c r="AF150" i="3"/>
  <c r="W4" i="14"/>
  <c r="AA69" i="14"/>
  <c r="W48" i="14"/>
  <c r="Z5" i="14"/>
  <c r="W36" i="14"/>
  <c r="X75" i="14"/>
  <c r="AA9" i="14"/>
  <c r="W45" i="14"/>
  <c r="AA7" i="14"/>
  <c r="X38" i="14"/>
  <c r="X14" i="14"/>
  <c r="W56" i="14"/>
  <c r="X23" i="14"/>
  <c r="X58" i="14"/>
  <c r="X20" i="14"/>
  <c r="W60" i="14"/>
  <c r="Z14" i="14"/>
  <c r="Z33" i="14"/>
  <c r="X53" i="14"/>
  <c r="AA77" i="14"/>
  <c r="AA33" i="14"/>
  <c r="Z53" i="14"/>
  <c r="W71" i="14"/>
  <c r="X16" i="14"/>
  <c r="X35" i="14"/>
  <c r="X56" i="14"/>
  <c r="W79" i="14"/>
  <c r="X8" i="14"/>
  <c r="W26" i="14"/>
  <c r="W50" i="14"/>
  <c r="Z73" i="14"/>
  <c r="X76" i="14"/>
  <c r="Z42" i="14"/>
  <c r="Z58" i="14"/>
  <c r="Z74" i="14"/>
  <c r="X4" i="14"/>
  <c r="AA24" i="14"/>
  <c r="AA40" i="14"/>
  <c r="AA56" i="14"/>
  <c r="AF111" i="3"/>
  <c r="C74" i="3"/>
  <c r="AG74" i="3" s="1"/>
  <c r="AI13" i="4" s="1"/>
  <c r="C82" i="3"/>
  <c r="D98" i="3" s="1"/>
  <c r="E18" i="4" s="1"/>
  <c r="C76" i="3"/>
  <c r="AG76" i="3" s="1"/>
  <c r="C84" i="3"/>
  <c r="D100" i="3" s="1"/>
  <c r="C111" i="3"/>
  <c r="C109" i="3"/>
  <c r="AF79" i="3"/>
  <c r="AF73" i="3"/>
  <c r="AG70" i="3"/>
  <c r="AF80" i="3"/>
  <c r="AF71" i="3"/>
  <c r="D45" i="4"/>
  <c r="M4" i="7"/>
  <c r="N4" i="7" s="1"/>
  <c r="D59" i="4"/>
  <c r="M7" i="7"/>
  <c r="N7" i="7" s="1"/>
  <c r="AB146" i="16"/>
  <c r="AB73" i="16"/>
  <c r="AB108" i="16"/>
  <c r="AB190" i="16"/>
  <c r="AA219" i="16"/>
  <c r="AA251" i="16"/>
  <c r="AA170" i="16"/>
  <c r="AA186" i="16"/>
  <c r="AA202" i="16"/>
  <c r="AA218" i="16"/>
  <c r="AA234" i="16"/>
  <c r="AA250" i="16"/>
  <c r="AB202" i="16"/>
  <c r="AB218" i="16"/>
  <c r="AB234" i="16"/>
  <c r="AB250" i="16"/>
  <c r="AA67" i="16"/>
  <c r="O787" i="15"/>
  <c r="P747" i="15"/>
  <c r="R701" i="15"/>
  <c r="AA154" i="16"/>
  <c r="O763" i="15"/>
  <c r="P724" i="15"/>
  <c r="R680" i="15"/>
  <c r="R769" i="15"/>
  <c r="Q728" i="15"/>
  <c r="P687" i="15"/>
  <c r="AB12" i="16"/>
  <c r="P739" i="15"/>
  <c r="R693" i="15"/>
  <c r="AA164" i="16"/>
  <c r="O771" i="15"/>
  <c r="P732" i="15"/>
  <c r="R688" i="15"/>
  <c r="R756" i="15"/>
  <c r="R681" i="15"/>
  <c r="I1" i="9"/>
  <c r="H1" i="9"/>
  <c r="G1" i="9"/>
  <c r="F1" i="9"/>
  <c r="M1" i="9"/>
  <c r="E1" i="9"/>
  <c r="L1" i="9"/>
  <c r="J1" i="9"/>
  <c r="K1" i="9"/>
  <c r="R708" i="15"/>
  <c r="Y111" i="20"/>
  <c r="T103" i="16"/>
  <c r="T12" i="16"/>
  <c r="T203" i="16"/>
  <c r="Y171" i="20"/>
  <c r="T163" i="16"/>
  <c r="Y24" i="20"/>
  <c r="T16" i="16"/>
  <c r="T191" i="16"/>
  <c r="Y130" i="20"/>
  <c r="T122" i="16"/>
  <c r="Y76" i="20"/>
  <c r="T68" i="16"/>
  <c r="Y195" i="20"/>
  <c r="T187" i="16"/>
  <c r="Y22" i="20"/>
  <c r="T14" i="16"/>
  <c r="T141" i="16"/>
  <c r="T142" i="16"/>
  <c r="T117" i="16"/>
  <c r="Y191" i="20"/>
  <c r="T183" i="16"/>
  <c r="T146" i="16"/>
  <c r="Y113" i="20"/>
  <c r="T105" i="16"/>
  <c r="Y187" i="20"/>
  <c r="T179" i="16"/>
  <c r="T178" i="16"/>
  <c r="Y202" i="20"/>
  <c r="T194" i="16"/>
  <c r="T226" i="16"/>
  <c r="F31" i="10"/>
  <c r="G31" i="10"/>
  <c r="AB23" i="16"/>
  <c r="W73" i="14"/>
  <c r="W19" i="14"/>
  <c r="AA23" i="16"/>
  <c r="C37" i="18"/>
  <c r="R716" i="15"/>
  <c r="P760" i="15"/>
  <c r="G51" i="5"/>
  <c r="F55" i="5"/>
  <c r="F107" i="4"/>
  <c r="F127" i="4" s="1"/>
  <c r="G62" i="4"/>
  <c r="Z12" i="14"/>
  <c r="AG84" i="3"/>
  <c r="AG16" i="4"/>
  <c r="W25" i="14"/>
  <c r="Z39" i="14"/>
  <c r="X85" i="14"/>
  <c r="Z55" i="14"/>
  <c r="W6" i="14"/>
  <c r="AA41" i="14"/>
  <c r="X77" i="14"/>
  <c r="AA10" i="14"/>
  <c r="W52" i="14"/>
  <c r="AA8" i="14"/>
  <c r="AA45" i="14"/>
  <c r="AA15" i="14"/>
  <c r="Z63" i="14"/>
  <c r="X26" i="14"/>
  <c r="AA65" i="14"/>
  <c r="Z23" i="14"/>
  <c r="Z67" i="14"/>
  <c r="Z17" i="14"/>
  <c r="Z36" i="14"/>
  <c r="AA59" i="14"/>
  <c r="AA17" i="14"/>
  <c r="W34" i="14"/>
  <c r="W54" i="14"/>
  <c r="W85" i="14"/>
  <c r="X19" i="14"/>
  <c r="AA39" i="14"/>
  <c r="X57" i="14"/>
  <c r="X81" i="14"/>
  <c r="Z10" i="14"/>
  <c r="X29" i="14"/>
  <c r="W51" i="14"/>
  <c r="W74" i="14"/>
  <c r="X78" i="14"/>
  <c r="Z44" i="14"/>
  <c r="Z60" i="14"/>
  <c r="Z76" i="14"/>
  <c r="Z9" i="14"/>
  <c r="AA26" i="14"/>
  <c r="AA42" i="14"/>
  <c r="AA58" i="14"/>
  <c r="AA74" i="14"/>
  <c r="D93" i="3"/>
  <c r="E14" i="4" s="1"/>
  <c r="D103" i="3"/>
  <c r="E5" i="4"/>
  <c r="C115" i="3"/>
  <c r="AG115" i="3" s="1"/>
  <c r="AI27" i="4" s="1"/>
  <c r="C112" i="3"/>
  <c r="C104" i="3"/>
  <c r="C108" i="3"/>
  <c r="AG108" i="3" s="1"/>
  <c r="C110" i="3"/>
  <c r="AH61" i="4"/>
  <c r="M8" i="7"/>
  <c r="N8" i="7" s="1"/>
  <c r="D89" i="4"/>
  <c r="O8" i="7" s="1"/>
  <c r="AA135" i="16"/>
  <c r="AA169" i="16"/>
  <c r="AA11" i="16"/>
  <c r="AA49" i="16"/>
  <c r="AB58" i="16"/>
  <c r="AB163" i="16"/>
  <c r="AA46" i="16"/>
  <c r="AA87" i="16"/>
  <c r="AB156" i="16"/>
  <c r="AA209" i="16"/>
  <c r="AA29" i="16"/>
  <c r="AA37" i="16"/>
  <c r="AB153" i="16"/>
  <c r="AB199" i="16"/>
  <c r="AB7" i="16"/>
  <c r="AB29" i="16"/>
  <c r="AA75" i="16"/>
  <c r="AB187" i="16"/>
  <c r="AB123" i="16"/>
  <c r="AA158" i="16"/>
  <c r="AB193" i="16"/>
  <c r="AB225" i="16"/>
  <c r="AB21" i="16"/>
  <c r="AB56" i="16"/>
  <c r="AA111" i="16"/>
  <c r="AA130" i="16"/>
  <c r="AB150" i="16"/>
  <c r="AA177" i="16"/>
  <c r="AA57" i="16"/>
  <c r="AA76" i="16"/>
  <c r="AB95" i="16"/>
  <c r="AB130" i="16"/>
  <c r="AB92" i="16"/>
  <c r="AA147" i="16"/>
  <c r="AB191" i="16"/>
  <c r="AA223" i="16"/>
  <c r="AA172" i="16"/>
  <c r="AA188" i="16"/>
  <c r="AA204" i="16"/>
  <c r="AA220" i="16"/>
  <c r="AA236" i="16"/>
  <c r="AA252" i="16"/>
  <c r="AB204" i="16"/>
  <c r="AB220" i="16"/>
  <c r="AB236" i="16"/>
  <c r="AB252" i="16"/>
  <c r="AA64" i="16"/>
  <c r="P784" i="15"/>
  <c r="Q740" i="15"/>
  <c r="P699" i="15"/>
  <c r="R760" i="15"/>
  <c r="O715" i="15"/>
  <c r="P767" i="15"/>
  <c r="R721" i="15"/>
  <c r="Q680" i="15"/>
  <c r="R773" i="15"/>
  <c r="Q732" i="15"/>
  <c r="P691" i="15"/>
  <c r="AB145" i="16"/>
  <c r="R768" i="15"/>
  <c r="O723" i="15"/>
  <c r="P684" i="15"/>
  <c r="P736" i="15"/>
  <c r="P688" i="15"/>
  <c r="Y30" i="20"/>
  <c r="T22" i="16"/>
  <c r="Y23" i="20"/>
  <c r="T15" i="16"/>
  <c r="Y83" i="20"/>
  <c r="T75" i="16"/>
  <c r="Y170" i="20"/>
  <c r="T162" i="16"/>
  <c r="Y34" i="20"/>
  <c r="T26" i="16"/>
  <c r="Y17" i="20"/>
  <c r="T9" i="16"/>
  <c r="Y152" i="20"/>
  <c r="T144" i="16"/>
  <c r="T120" i="16"/>
  <c r="Y103" i="20"/>
  <c r="T95" i="16"/>
  <c r="Y158" i="20"/>
  <c r="T150" i="16"/>
  <c r="Y116" i="20"/>
  <c r="T108" i="16"/>
  <c r="Y201" i="20"/>
  <c r="T193" i="16"/>
  <c r="Y233" i="20"/>
  <c r="T225" i="16"/>
  <c r="T180" i="16"/>
  <c r="Y236" i="20"/>
  <c r="T228" i="16"/>
  <c r="T244" i="16"/>
  <c r="F29" i="10"/>
  <c r="G29" i="10"/>
  <c r="O775" i="15"/>
  <c r="Q787" i="15"/>
  <c r="P680" i="15"/>
  <c r="O719" i="15"/>
  <c r="R764" i="15"/>
  <c r="D94" i="4"/>
  <c r="G34" i="10"/>
  <c r="F34" i="10"/>
  <c r="R729" i="15"/>
  <c r="X31" i="14"/>
  <c r="X83" i="14"/>
  <c r="Z11" i="14"/>
  <c r="Z85" i="14"/>
  <c r="W7" i="14"/>
  <c r="X43" i="14"/>
  <c r="Z79" i="14"/>
  <c r="X15" i="14"/>
  <c r="Z59" i="14"/>
  <c r="W14" i="14"/>
  <c r="X47" i="14"/>
  <c r="Z18" i="14"/>
  <c r="W65" i="14"/>
  <c r="Z29" i="14"/>
  <c r="X67" i="14"/>
  <c r="Z26" i="14"/>
  <c r="W69" i="14"/>
  <c r="Z20" i="14"/>
  <c r="X37" i="14"/>
  <c r="X60" i="14"/>
  <c r="W18" i="14"/>
  <c r="Z37" i="14"/>
  <c r="W55" i="14"/>
  <c r="X3" i="14"/>
  <c r="X22" i="14"/>
  <c r="X40" i="14"/>
  <c r="AA63" i="14"/>
  <c r="W82" i="14"/>
  <c r="Z13" i="14"/>
  <c r="X32" i="14"/>
  <c r="Z57" i="14"/>
  <c r="W75" i="14"/>
  <c r="X80" i="14"/>
  <c r="Z46" i="14"/>
  <c r="Z62" i="14"/>
  <c r="Z78" i="14"/>
  <c r="X11" i="14"/>
  <c r="AA28" i="14"/>
  <c r="AA44" i="14"/>
  <c r="AA60" i="14"/>
  <c r="AA76" i="14"/>
  <c r="AG103" i="3"/>
  <c r="AF112" i="3"/>
  <c r="AF109" i="3"/>
  <c r="AF105" i="3"/>
  <c r="AF104" i="3"/>
  <c r="C107" i="3"/>
  <c r="F17" i="2"/>
  <c r="AF107" i="3"/>
  <c r="E19" i="2"/>
  <c r="F78" i="4"/>
  <c r="E108" i="4"/>
  <c r="E128" i="4" s="1"/>
  <c r="AF110" i="3"/>
  <c r="T39" i="23"/>
  <c r="T38" i="23"/>
  <c r="S165" i="20"/>
  <c r="S53" i="20"/>
  <c r="S20" i="20"/>
  <c r="Y20" i="20" s="1"/>
  <c r="S216" i="20"/>
  <c r="S102" i="20"/>
  <c r="Y102" i="20" s="1"/>
  <c r="S32" i="20"/>
  <c r="S139" i="20"/>
  <c r="S253" i="20"/>
  <c r="S144" i="20"/>
  <c r="S172" i="20"/>
  <c r="Y172" i="20" s="1"/>
  <c r="S71" i="20"/>
  <c r="Y71" i="20" s="1"/>
  <c r="S135" i="20"/>
  <c r="S199" i="20"/>
  <c r="Y199" i="20" s="1"/>
  <c r="S98" i="20"/>
  <c r="S252" i="20"/>
  <c r="Y252" i="20" s="1"/>
  <c r="S101" i="20"/>
  <c r="Q767" i="15"/>
  <c r="Q751" i="15"/>
  <c r="Q735" i="15"/>
  <c r="Q719" i="15"/>
  <c r="Q703" i="15"/>
  <c r="Q687" i="15"/>
  <c r="AB57" i="16"/>
  <c r="AA100" i="16"/>
  <c r="AA138" i="16"/>
  <c r="AB171" i="16"/>
  <c r="AB59" i="16"/>
  <c r="AB48" i="16"/>
  <c r="AA88" i="16"/>
  <c r="AA217" i="16"/>
  <c r="AB14" i="16"/>
  <c r="AB38" i="16"/>
  <c r="AA81" i="16"/>
  <c r="AB207" i="16"/>
  <c r="AB9" i="16"/>
  <c r="AA30" i="16"/>
  <c r="AA80" i="16"/>
  <c r="AA155" i="16"/>
  <c r="AB107" i="16"/>
  <c r="AB142" i="16"/>
  <c r="AB197" i="16"/>
  <c r="AB229" i="16"/>
  <c r="AB40" i="16"/>
  <c r="AA95" i="16"/>
  <c r="AA114" i="16"/>
  <c r="AB133" i="16"/>
  <c r="AA151" i="16"/>
  <c r="AB178" i="16"/>
  <c r="AA41" i="16"/>
  <c r="AA60" i="16"/>
  <c r="AB79" i="16"/>
  <c r="AB114" i="16"/>
  <c r="AB151" i="16"/>
  <c r="AA175" i="16"/>
  <c r="AB76" i="16"/>
  <c r="AA131" i="16"/>
  <c r="AB152" i="16"/>
  <c r="AA173" i="16"/>
  <c r="AA195" i="16"/>
  <c r="AA227" i="16"/>
  <c r="AA174" i="16"/>
  <c r="AA190" i="16"/>
  <c r="AA206" i="16"/>
  <c r="AA222" i="16"/>
  <c r="AA238" i="16"/>
  <c r="AB206" i="16"/>
  <c r="AB222" i="16"/>
  <c r="AB238" i="16"/>
  <c r="AB122" i="16"/>
  <c r="P779" i="15"/>
  <c r="R733" i="15"/>
  <c r="Q692" i="15"/>
  <c r="P756" i="15"/>
  <c r="R712" i="15"/>
  <c r="AA221" i="16"/>
  <c r="Q760" i="15"/>
  <c r="P719" i="15"/>
  <c r="P771" i="15"/>
  <c r="R725" i="15"/>
  <c r="Q684" i="15"/>
  <c r="AA113" i="16"/>
  <c r="P764" i="15"/>
  <c r="R720" i="15"/>
  <c r="AB243" i="16"/>
  <c r="P695" i="15"/>
  <c r="P782" i="15"/>
  <c r="T33" i="16"/>
  <c r="Y41" i="20"/>
  <c r="Y26" i="20"/>
  <c r="T18" i="16"/>
  <c r="Y44" i="20"/>
  <c r="T36" i="16"/>
  <c r="Y19" i="20"/>
  <c r="T11" i="16"/>
  <c r="T80" i="16"/>
  <c r="Y33" i="20"/>
  <c r="T25" i="16"/>
  <c r="Y197" i="20"/>
  <c r="T189" i="16"/>
  <c r="Y115" i="20"/>
  <c r="T107" i="16"/>
  <c r="Y114" i="20"/>
  <c r="T106" i="16"/>
  <c r="Y29" i="20"/>
  <c r="T21" i="16"/>
  <c r="Y85" i="20"/>
  <c r="T77" i="16"/>
  <c r="Y169" i="20"/>
  <c r="T161" i="16"/>
  <c r="T164" i="16"/>
  <c r="T34" i="16"/>
  <c r="T98" i="16"/>
  <c r="Y129" i="20"/>
  <c r="T121" i="16"/>
  <c r="Y237" i="20"/>
  <c r="T229" i="16"/>
  <c r="Y190" i="20"/>
  <c r="T182" i="16"/>
  <c r="G214" i="16"/>
  <c r="T230" i="16"/>
  <c r="Y254" i="20"/>
  <c r="T246" i="16"/>
  <c r="F44" i="20"/>
  <c r="G44" i="20" s="1"/>
  <c r="Q768" i="15"/>
  <c r="P768" i="15"/>
  <c r="AA96" i="16"/>
  <c r="R684" i="15"/>
  <c r="P728" i="15"/>
  <c r="O767" i="15"/>
  <c r="AF117" i="3"/>
  <c r="J63" i="4"/>
  <c r="W57" i="14"/>
  <c r="R740" i="15"/>
  <c r="P720" i="15"/>
  <c r="AA37" i="14"/>
  <c r="W11" i="14"/>
  <c r="W16" i="14"/>
  <c r="X5" i="14"/>
  <c r="X9" i="14"/>
  <c r="X50" i="14"/>
  <c r="AA81" i="14"/>
  <c r="W27" i="14"/>
  <c r="W61" i="14"/>
  <c r="Z15" i="14"/>
  <c r="X54" i="14"/>
  <c r="AA21" i="14"/>
  <c r="W72" i="14"/>
  <c r="Z32" i="14"/>
  <c r="X74" i="14"/>
  <c r="AA29" i="14"/>
  <c r="W76" i="14"/>
  <c r="W21" i="14"/>
  <c r="AA43" i="14"/>
  <c r="X61" i="14"/>
  <c r="X21" i="14"/>
  <c r="W38" i="14"/>
  <c r="Z61" i="14"/>
  <c r="Z6" i="14"/>
  <c r="Z25" i="14"/>
  <c r="X41" i="14"/>
  <c r="X64" i="14"/>
  <c r="Z83" i="14"/>
  <c r="Z16" i="14"/>
  <c r="Z35" i="14"/>
  <c r="W58" i="14"/>
  <c r="W77" i="14"/>
  <c r="X82" i="14"/>
  <c r="Z48" i="14"/>
  <c r="Z64" i="14"/>
  <c r="Z80" i="14"/>
  <c r="W13" i="14"/>
  <c r="AA30" i="14"/>
  <c r="AA46" i="14"/>
  <c r="AA62" i="14"/>
  <c r="AA78" i="14"/>
  <c r="AG136" i="3"/>
  <c r="AF138" i="3"/>
  <c r="AG7" i="4"/>
  <c r="AH7" i="4" s="1"/>
  <c r="AF19" i="3"/>
  <c r="C116" i="3"/>
  <c r="AG116" i="3" s="1"/>
  <c r="D136" i="3"/>
  <c r="E6" i="4"/>
  <c r="J55" i="4"/>
  <c r="D33" i="29"/>
  <c r="T52" i="22"/>
  <c r="S32" i="29"/>
  <c r="S33" i="29" s="1"/>
  <c r="N31" i="29"/>
  <c r="N33" i="29" s="1"/>
  <c r="I30" i="29"/>
  <c r="I33" i="29" s="1"/>
  <c r="T46" i="22"/>
  <c r="T53" i="22"/>
  <c r="T95" i="22"/>
  <c r="T59" i="23"/>
  <c r="T38" i="22"/>
  <c r="S160" i="20"/>
  <c r="Y160" i="20" s="1"/>
  <c r="S84" i="20"/>
  <c r="Y84" i="20" s="1"/>
  <c r="S211" i="20"/>
  <c r="S97" i="20"/>
  <c r="S60" i="20"/>
  <c r="S168" i="20"/>
  <c r="Y168" i="20" s="1"/>
  <c r="S56" i="20"/>
  <c r="S204" i="20"/>
  <c r="S31" i="20"/>
  <c r="S95" i="20"/>
  <c r="S159" i="20"/>
  <c r="S223" i="20"/>
  <c r="S58" i="20"/>
  <c r="Y58" i="20" s="1"/>
  <c r="S122" i="20"/>
  <c r="S186" i="20"/>
  <c r="S250" i="20"/>
  <c r="S248" i="20"/>
  <c r="S134" i="20"/>
  <c r="S96" i="20"/>
  <c r="Y96" i="20" s="1"/>
  <c r="S27" i="20"/>
  <c r="Y27" i="20" s="1"/>
  <c r="H31" i="18"/>
  <c r="R784" i="15"/>
  <c r="S679" i="15"/>
  <c r="S687" i="15"/>
  <c r="S695" i="15"/>
  <c r="S703" i="15"/>
  <c r="S711" i="15"/>
  <c r="S719" i="15"/>
  <c r="S727" i="15"/>
  <c r="S735" i="15"/>
  <c r="S743" i="15"/>
  <c r="S751" i="15"/>
  <c r="S759" i="15"/>
  <c r="S767" i="15"/>
  <c r="S775" i="15"/>
  <c r="S783" i="15"/>
  <c r="N679" i="15"/>
  <c r="N687" i="15"/>
  <c r="N695" i="15"/>
  <c r="N703" i="15"/>
  <c r="N711" i="15"/>
  <c r="N719" i="15"/>
  <c r="N727" i="15"/>
  <c r="N735" i="15"/>
  <c r="N743" i="15"/>
  <c r="N751" i="15"/>
  <c r="N759" i="15"/>
  <c r="N767" i="15"/>
  <c r="N775" i="15"/>
  <c r="N783" i="15"/>
  <c r="AB67" i="16"/>
  <c r="Q784" i="15"/>
  <c r="O766" i="15"/>
  <c r="O750" i="15"/>
  <c r="O734" i="15"/>
  <c r="O718" i="15"/>
  <c r="O702" i="15"/>
  <c r="O686" i="15"/>
  <c r="AA58" i="16"/>
  <c r="AB106" i="16"/>
  <c r="AB141" i="16"/>
  <c r="AA17" i="16"/>
  <c r="AB51" i="16"/>
  <c r="AB62" i="16"/>
  <c r="AA93" i="16"/>
  <c r="AA129" i="16"/>
  <c r="AA167" i="16"/>
  <c r="AB49" i="16"/>
  <c r="AB93" i="16"/>
  <c r="AA123" i="16"/>
  <c r="AA165" i="16"/>
  <c r="AA225" i="16"/>
  <c r="AB39" i="16"/>
  <c r="AB87" i="16"/>
  <c r="AA162" i="16"/>
  <c r="AB215" i="16"/>
  <c r="AB32" i="16"/>
  <c r="AB81" i="16"/>
  <c r="AA119" i="16"/>
  <c r="AB162" i="16"/>
  <c r="AB126" i="16"/>
  <c r="AB165" i="16"/>
  <c r="AB201" i="16"/>
  <c r="AB233" i="16"/>
  <c r="AB24" i="16"/>
  <c r="AA79" i="16"/>
  <c r="AA98" i="16"/>
  <c r="AB117" i="16"/>
  <c r="AB179" i="16"/>
  <c r="AA44" i="16"/>
  <c r="AB63" i="16"/>
  <c r="AB98" i="16"/>
  <c r="AA152" i="16"/>
  <c r="AB176" i="16"/>
  <c r="AA115" i="16"/>
  <c r="AA134" i="16"/>
  <c r="AA153" i="16"/>
  <c r="AB174" i="16"/>
  <c r="AA199" i="16"/>
  <c r="AA231" i="16"/>
  <c r="AA176" i="16"/>
  <c r="AA192" i="16"/>
  <c r="AA208" i="16"/>
  <c r="AA224" i="16"/>
  <c r="AA240" i="16"/>
  <c r="AB192" i="16"/>
  <c r="AB208" i="16"/>
  <c r="AB224" i="16"/>
  <c r="AB240" i="16"/>
  <c r="AA25" i="16"/>
  <c r="Q772" i="15"/>
  <c r="P731" i="15"/>
  <c r="R685" i="15"/>
  <c r="AB15" i="16"/>
  <c r="O747" i="15"/>
  <c r="P708" i="15"/>
  <c r="R753" i="15"/>
  <c r="Q712" i="15"/>
  <c r="AB102" i="16"/>
  <c r="Q764" i="15"/>
  <c r="P723" i="15"/>
  <c r="R677" i="15"/>
  <c r="O755" i="15"/>
  <c r="P716" i="15"/>
  <c r="Y243" i="20"/>
  <c r="T235" i="16"/>
  <c r="R692" i="15"/>
  <c r="O759" i="15"/>
  <c r="AB30" i="16"/>
  <c r="Y251" i="20"/>
  <c r="T243" i="16"/>
  <c r="Y18" i="20"/>
  <c r="T10" i="16"/>
  <c r="Y25" i="20"/>
  <c r="T17" i="16"/>
  <c r="Y105" i="20"/>
  <c r="T97" i="16"/>
  <c r="Y75" i="20"/>
  <c r="T67" i="16"/>
  <c r="T57" i="16"/>
  <c r="G215" i="16"/>
  <c r="Y86" i="20"/>
  <c r="T78" i="16"/>
  <c r="Y144" i="20"/>
  <c r="T136" i="16"/>
  <c r="Y189" i="20"/>
  <c r="T181" i="16"/>
  <c r="Y209" i="20"/>
  <c r="T201" i="16"/>
  <c r="Y241" i="20"/>
  <c r="T233" i="16"/>
  <c r="Y192" i="20"/>
  <c r="T184" i="16"/>
  <c r="G216" i="16"/>
  <c r="T232" i="16"/>
  <c r="Y256" i="20"/>
  <c r="T248" i="16"/>
  <c r="R761" i="15"/>
  <c r="P727" i="15"/>
  <c r="P787" i="15"/>
  <c r="O687" i="15"/>
  <c r="R732" i="15"/>
  <c r="P776" i="15"/>
  <c r="D122" i="4"/>
  <c r="M7" i="16"/>
  <c r="O743" i="15"/>
  <c r="Q736" i="15"/>
  <c r="H101" i="4"/>
  <c r="H123" i="4" s="1"/>
  <c r="I56" i="4"/>
  <c r="Z71" i="14"/>
  <c r="P743" i="15"/>
  <c r="X39" i="14"/>
  <c r="W28" i="14"/>
  <c r="W22" i="14"/>
  <c r="X12" i="14"/>
  <c r="W10" i="14"/>
  <c r="AA57" i="14"/>
  <c r="AA4" i="14"/>
  <c r="W30" i="14"/>
  <c r="W68" i="14"/>
  <c r="X18" i="14"/>
  <c r="AA61" i="14"/>
  <c r="W35" i="14"/>
  <c r="W84" i="14"/>
  <c r="AA35" i="14"/>
  <c r="W78" i="14"/>
  <c r="W37" i="14"/>
  <c r="AA5" i="14"/>
  <c r="AA23" i="14"/>
  <c r="X44" i="14"/>
  <c r="AA67" i="14"/>
  <c r="X24" i="14"/>
  <c r="W39" i="14"/>
  <c r="W62" i="14"/>
  <c r="W8" i="14"/>
  <c r="Z28" i="14"/>
  <c r="AA47" i="14"/>
  <c r="X65" i="14"/>
  <c r="AA85" i="14"/>
  <c r="Z19" i="14"/>
  <c r="Z41" i="14"/>
  <c r="W59" i="14"/>
  <c r="X79" i="14"/>
  <c r="X84" i="14"/>
  <c r="Z50" i="14"/>
  <c r="Z66" i="14"/>
  <c r="Z82" i="14"/>
  <c r="W15" i="14"/>
  <c r="AA32" i="14"/>
  <c r="AA48" i="14"/>
  <c r="AA64" i="14"/>
  <c r="AA80" i="14"/>
  <c r="F18" i="2"/>
  <c r="C83" i="3"/>
  <c r="D99" i="3" s="1"/>
  <c r="C72" i="3"/>
  <c r="AG72" i="3" s="1"/>
  <c r="AI11" i="4" s="1"/>
  <c r="G38" i="10"/>
  <c r="F38" i="10"/>
  <c r="B20" i="25" s="1"/>
  <c r="B23" i="25" s="1"/>
  <c r="AF149" i="3"/>
  <c r="C105" i="3"/>
  <c r="F4" i="4"/>
  <c r="E70" i="3"/>
  <c r="G16" i="2"/>
  <c r="Q747" i="15"/>
  <c r="Q731" i="15"/>
  <c r="Q715" i="15"/>
  <c r="Q699" i="15"/>
  <c r="Q683" i="15"/>
  <c r="AB25" i="16"/>
  <c r="AA51" i="16"/>
  <c r="AA59" i="16"/>
  <c r="AA77" i="16"/>
  <c r="AB109" i="16"/>
  <c r="AB144" i="16"/>
  <c r="AB186" i="16"/>
  <c r="AA20" i="16"/>
  <c r="AA52" i="16"/>
  <c r="AA71" i="16"/>
  <c r="AA94" i="16"/>
  <c r="AA132" i="16"/>
  <c r="AB169" i="16"/>
  <c r="AB52" i="16"/>
  <c r="AB94" i="16"/>
  <c r="AA126" i="16"/>
  <c r="AB167" i="16"/>
  <c r="AA233" i="16"/>
  <c r="AA32" i="16"/>
  <c r="AA40" i="16"/>
  <c r="AA125" i="16"/>
  <c r="AB223" i="16"/>
  <c r="AA15" i="16"/>
  <c r="AB33" i="16"/>
  <c r="AB86" i="16"/>
  <c r="AA122" i="16"/>
  <c r="AB110" i="16"/>
  <c r="AB205" i="16"/>
  <c r="AB237" i="16"/>
  <c r="AA63" i="16"/>
  <c r="AA82" i="16"/>
  <c r="AB101" i="16"/>
  <c r="AB136" i="16"/>
  <c r="AB158" i="16"/>
  <c r="AB47" i="16"/>
  <c r="AB82" i="16"/>
  <c r="AA137" i="16"/>
  <c r="AB177" i="16"/>
  <c r="AA99" i="16"/>
  <c r="AA118" i="16"/>
  <c r="AB137" i="16"/>
  <c r="AB175" i="16"/>
  <c r="AA203" i="16"/>
  <c r="AA235" i="16"/>
  <c r="AA178" i="16"/>
  <c r="AA194" i="16"/>
  <c r="AA210" i="16"/>
  <c r="AA226" i="16"/>
  <c r="AA242" i="16"/>
  <c r="AB194" i="16"/>
  <c r="AB210" i="16"/>
  <c r="AB226" i="16"/>
  <c r="AB242" i="16"/>
  <c r="AA9" i="16"/>
  <c r="R765" i="15"/>
  <c r="Q724" i="15"/>
  <c r="P683" i="15"/>
  <c r="O784" i="15"/>
  <c r="R744" i="15"/>
  <c r="O699" i="15"/>
  <c r="P751" i="15"/>
  <c r="R705" i="15"/>
  <c r="R757" i="15"/>
  <c r="Q716" i="15"/>
  <c r="R752" i="15"/>
  <c r="O707" i="15"/>
  <c r="Q752" i="15"/>
  <c r="P775" i="15"/>
  <c r="Y43" i="20"/>
  <c r="T35" i="16"/>
  <c r="T19" i="16"/>
  <c r="Y46" i="20"/>
  <c r="T38" i="16"/>
  <c r="G211" i="16"/>
  <c r="Y28" i="20"/>
  <c r="T20" i="16"/>
  <c r="Y110" i="20"/>
  <c r="T102" i="16"/>
  <c r="Y68" i="20"/>
  <c r="T60" i="16"/>
  <c r="Y63" i="20"/>
  <c r="T55" i="16"/>
  <c r="T118" i="16"/>
  <c r="T99" i="16"/>
  <c r="Y118" i="20"/>
  <c r="T110" i="16"/>
  <c r="T185" i="16"/>
  <c r="Y157" i="20"/>
  <c r="T149" i="16"/>
  <c r="T50" i="16"/>
  <c r="Y81" i="20"/>
  <c r="T73" i="16"/>
  <c r="Y213" i="20"/>
  <c r="T205" i="16"/>
  <c r="Y194" i="20"/>
  <c r="T186" i="16"/>
  <c r="Y210" i="20"/>
  <c r="T202" i="16"/>
  <c r="Y242" i="20"/>
  <c r="T234" i="16"/>
  <c r="F39" i="10"/>
  <c r="G39" i="10"/>
  <c r="O711" i="15"/>
  <c r="R724" i="15"/>
  <c r="R777" i="15"/>
  <c r="P696" i="15"/>
  <c r="O735" i="15"/>
  <c r="D95" i="4"/>
  <c r="D133" i="4" s="1"/>
  <c r="P679" i="15"/>
  <c r="X46" i="14"/>
  <c r="X34" i="14"/>
  <c r="X28" i="14"/>
  <c r="X71" i="14"/>
  <c r="AA16" i="14"/>
  <c r="X59" i="14"/>
  <c r="X6" i="14"/>
  <c r="X33" i="14"/>
  <c r="Z75" i="14"/>
  <c r="Z21" i="14"/>
  <c r="X63" i="14"/>
  <c r="W40" i="14"/>
  <c r="AA14" i="14"/>
  <c r="X42" i="14"/>
  <c r="W12" i="14"/>
  <c r="W44" i="14"/>
  <c r="X7" i="14"/>
  <c r="W24" i="14"/>
  <c r="X45" i="14"/>
  <c r="X68" i="14"/>
  <c r="Z27" i="14"/>
  <c r="Z45" i="14"/>
  <c r="W63" i="14"/>
  <c r="X10" i="14"/>
  <c r="W29" i="14"/>
  <c r="X48" i="14"/>
  <c r="AA71" i="14"/>
  <c r="Z3" i="14"/>
  <c r="Z22" i="14"/>
  <c r="W42" i="14"/>
  <c r="Z65" i="14"/>
  <c r="W80" i="14"/>
  <c r="X86" i="14"/>
  <c r="Z52" i="14"/>
  <c r="Z68" i="14"/>
  <c r="Z84" i="14"/>
  <c r="AA18" i="14"/>
  <c r="AA34" i="14"/>
  <c r="AA50" i="14"/>
  <c r="AA66" i="14"/>
  <c r="AA82" i="14"/>
  <c r="AF114" i="3"/>
  <c r="C114" i="3"/>
  <c r="AF106" i="3"/>
  <c r="AF82" i="3"/>
  <c r="AF77" i="3"/>
  <c r="R33" i="29"/>
  <c r="K32" i="29"/>
  <c r="K33" i="29" s="1"/>
  <c r="F31" i="29"/>
  <c r="F33" i="29" s="1"/>
  <c r="T59" i="22"/>
  <c r="T17" i="22"/>
  <c r="T32" i="22"/>
  <c r="T24" i="23"/>
  <c r="T52" i="23"/>
  <c r="T81" i="23"/>
  <c r="J25" i="20"/>
  <c r="S188" i="20"/>
  <c r="Y188" i="20" s="1"/>
  <c r="S150" i="20"/>
  <c r="Y150" i="20" s="1"/>
  <c r="S88" i="20"/>
  <c r="Y88" i="20" s="1"/>
  <c r="S196" i="20"/>
  <c r="Y196" i="20" s="1"/>
  <c r="S93" i="20"/>
  <c r="S12" i="20"/>
  <c r="S126" i="20"/>
  <c r="S240" i="20"/>
  <c r="S42" i="20"/>
  <c r="Y42" i="20" s="1"/>
  <c r="S106" i="20"/>
  <c r="S234" i="20"/>
  <c r="Y234" i="20" s="1"/>
  <c r="S238" i="20"/>
  <c r="S124" i="20"/>
  <c r="S51" i="20"/>
  <c r="S128" i="20"/>
  <c r="AA19" i="16"/>
  <c r="S753" i="15"/>
  <c r="S761" i="15"/>
  <c r="S769" i="15"/>
  <c r="S777" i="15"/>
  <c r="S785" i="15"/>
  <c r="N681" i="15"/>
  <c r="N689" i="15"/>
  <c r="N697" i="15"/>
  <c r="N713" i="15"/>
  <c r="N721" i="15"/>
  <c r="N729" i="15"/>
  <c r="N737" i="15"/>
  <c r="N745" i="15"/>
  <c r="N753" i="15"/>
  <c r="N761" i="15"/>
  <c r="N769" i="15"/>
  <c r="N777" i="15"/>
  <c r="N785" i="15"/>
  <c r="AA110" i="16"/>
  <c r="AA27" i="16"/>
  <c r="O778" i="15"/>
  <c r="O762" i="15"/>
  <c r="O746" i="15"/>
  <c r="O730" i="15"/>
  <c r="O714" i="15"/>
  <c r="O698" i="15"/>
  <c r="O682" i="15"/>
  <c r="AB10" i="16"/>
  <c r="AB60" i="16"/>
  <c r="AA78" i="16"/>
  <c r="AB112" i="16"/>
  <c r="AB154" i="16"/>
  <c r="AA26" i="16"/>
  <c r="AA45" i="16"/>
  <c r="AA53" i="16"/>
  <c r="AA72" i="16"/>
  <c r="AB99" i="16"/>
  <c r="AB135" i="16"/>
  <c r="AB71" i="16"/>
  <c r="AB129" i="16"/>
  <c r="AA241" i="16"/>
  <c r="AA21" i="16"/>
  <c r="AA33" i="16"/>
  <c r="AB42" i="16"/>
  <c r="AA128" i="16"/>
  <c r="AB172" i="16"/>
  <c r="AB231" i="16"/>
  <c r="AB36" i="16"/>
  <c r="AB125" i="16"/>
  <c r="AB149" i="16"/>
  <c r="AB209" i="16"/>
  <c r="AB241" i="16"/>
  <c r="AA47" i="16"/>
  <c r="AA66" i="16"/>
  <c r="AB85" i="16"/>
  <c r="AB120" i="16"/>
  <c r="AA159" i="16"/>
  <c r="AB31" i="16"/>
  <c r="AB66" i="16"/>
  <c r="AA121" i="16"/>
  <c r="AA140" i="16"/>
  <c r="AB159" i="16"/>
  <c r="AA83" i="16"/>
  <c r="AA102" i="16"/>
  <c r="AB121" i="16"/>
  <c r="AB160" i="16"/>
  <c r="AA207" i="16"/>
  <c r="AA239" i="16"/>
  <c r="AA180" i="16"/>
  <c r="AA196" i="16"/>
  <c r="AA212" i="16"/>
  <c r="AA228" i="16"/>
  <c r="AA244" i="16"/>
  <c r="AB196" i="16"/>
  <c r="AB212" i="16"/>
  <c r="AB228" i="16"/>
  <c r="AB244" i="16"/>
  <c r="AB96" i="16"/>
  <c r="P763" i="15"/>
  <c r="R717" i="15"/>
  <c r="O779" i="15"/>
  <c r="P740" i="15"/>
  <c r="R696" i="15"/>
  <c r="Q744" i="15"/>
  <c r="P703" i="15"/>
  <c r="AB164" i="16"/>
  <c r="P755" i="15"/>
  <c r="R709" i="15"/>
  <c r="O786" i="15"/>
  <c r="AA12" i="16"/>
  <c r="P748" i="15"/>
  <c r="R704" i="15"/>
  <c r="Q782" i="15"/>
  <c r="R745" i="15"/>
  <c r="R772" i="15"/>
  <c r="T94" i="16"/>
  <c r="Y31" i="20"/>
  <c r="T23" i="16"/>
  <c r="Y69" i="20"/>
  <c r="T61" i="16"/>
  <c r="Y153" i="20"/>
  <c r="T145" i="16"/>
  <c r="Y239" i="20"/>
  <c r="T231" i="16"/>
  <c r="Y66" i="20"/>
  <c r="T58" i="16"/>
  <c r="Y155" i="20"/>
  <c r="T147" i="16"/>
  <c r="Y52" i="20"/>
  <c r="T44" i="16"/>
  <c r="Y108" i="20"/>
  <c r="T100" i="16"/>
  <c r="Y32" i="20"/>
  <c r="T24" i="16"/>
  <c r="T88" i="16"/>
  <c r="T63" i="16"/>
  <c r="Y135" i="20"/>
  <c r="T127" i="16"/>
  <c r="T76" i="16"/>
  <c r="T188" i="16"/>
  <c r="Y212" i="20"/>
  <c r="T204" i="16"/>
  <c r="Y228" i="20"/>
  <c r="T220" i="16"/>
  <c r="Y244" i="20"/>
  <c r="T236" i="16"/>
  <c r="T252" i="16"/>
  <c r="F37" i="10"/>
  <c r="G37" i="10"/>
  <c r="Q704" i="15"/>
  <c r="P704" i="15"/>
  <c r="O727" i="15"/>
  <c r="R700" i="15"/>
  <c r="B40" i="13" a="1"/>
  <c r="N7" i="16"/>
  <c r="L7" i="14"/>
  <c r="G32" i="10"/>
  <c r="F32" i="10"/>
  <c r="AF142" i="3"/>
  <c r="W81" i="14"/>
  <c r="AA53" i="14"/>
  <c r="X55" i="14"/>
  <c r="Z34" i="14"/>
  <c r="AA3" i="14"/>
  <c r="AA19" i="14"/>
  <c r="X66" i="14"/>
  <c r="Z7" i="14"/>
  <c r="X36" i="14"/>
  <c r="Z77" i="14"/>
  <c r="Z24" i="14"/>
  <c r="X70" i="14"/>
  <c r="Z47" i="14"/>
  <c r="W17" i="14"/>
  <c r="AA49" i="14"/>
  <c r="AA13" i="14"/>
  <c r="Z51" i="14"/>
  <c r="W9" i="14"/>
  <c r="X27" i="14"/>
  <c r="AA51" i="14"/>
  <c r="X69" i="14"/>
  <c r="Z30" i="14"/>
  <c r="W46" i="14"/>
  <c r="Z69" i="14"/>
  <c r="AA12" i="14"/>
  <c r="AA31" i="14"/>
  <c r="X49" i="14"/>
  <c r="X72" i="14"/>
  <c r="W5" i="14"/>
  <c r="W23" i="14"/>
  <c r="W43" i="14"/>
  <c r="W66" i="14"/>
  <c r="Z81" i="14"/>
  <c r="Z38" i="14"/>
  <c r="Z54" i="14"/>
  <c r="Z70" i="14"/>
  <c r="Z86" i="14"/>
  <c r="AA20" i="14"/>
  <c r="AA36" i="14"/>
  <c r="AA52" i="14"/>
  <c r="AA68" i="14"/>
  <c r="AA84" i="14"/>
  <c r="AF144" i="3"/>
  <c r="AH91" i="4"/>
  <c r="C81" i="3"/>
  <c r="AG81" i="3" s="1"/>
  <c r="AI17" i="4" s="1"/>
  <c r="AF139" i="3"/>
  <c r="AF147" i="3"/>
  <c r="C106" i="3"/>
  <c r="AF148" i="3"/>
  <c r="M5" i="7"/>
  <c r="N5" i="7" s="1"/>
  <c r="T81" i="16" l="1"/>
  <c r="T54" i="16"/>
  <c r="T42" i="16"/>
  <c r="T198" i="16"/>
  <c r="T31" i="16"/>
  <c r="T170" i="16"/>
  <c r="T169" i="16"/>
  <c r="Y259" i="20"/>
  <c r="T30" i="16"/>
  <c r="I30" i="16" s="1"/>
  <c r="F30" i="16" s="1"/>
  <c r="T29" i="16"/>
  <c r="I29" i="16" s="1"/>
  <c r="F29" i="16" s="1"/>
  <c r="T91" i="16"/>
  <c r="I91" i="16" s="1"/>
  <c r="F91" i="16" s="1"/>
  <c r="Y166" i="20"/>
  <c r="T32" i="16"/>
  <c r="I32" i="16" s="1"/>
  <c r="F32" i="16" s="1"/>
  <c r="Y61" i="20"/>
  <c r="Y165" i="20"/>
  <c r="T28" i="16"/>
  <c r="I28" i="16" s="1"/>
  <c r="F28" i="16" s="1"/>
  <c r="Y215" i="20"/>
  <c r="T140" i="16"/>
  <c r="I140" i="16" s="1"/>
  <c r="F140" i="16" s="1"/>
  <c r="T137" i="16"/>
  <c r="I137" i="16" s="1"/>
  <c r="F137" i="16" s="1"/>
  <c r="Y35" i="20"/>
  <c r="T195" i="16"/>
  <c r="I195" i="16" s="1"/>
  <c r="F195" i="16" s="1"/>
  <c r="Y173" i="20"/>
  <c r="Y163" i="20"/>
  <c r="Y249" i="20"/>
  <c r="Y11" i="20"/>
  <c r="Y174" i="20"/>
  <c r="Y231" i="20"/>
  <c r="T241" i="16"/>
  <c r="I241" i="16" s="1"/>
  <c r="F241" i="16" s="1"/>
  <c r="T129" i="16"/>
  <c r="H129" i="16" s="1"/>
  <c r="E129" i="16" s="1"/>
  <c r="Y143" i="20"/>
  <c r="Y245" i="20"/>
  <c r="T3" i="16"/>
  <c r="H3" i="16" s="1"/>
  <c r="Y16" i="20"/>
  <c r="T5" i="16"/>
  <c r="I5" i="16" s="1"/>
  <c r="F5" i="16" s="1"/>
  <c r="C50" i="3"/>
  <c r="T155" i="16"/>
  <c r="H155" i="16" s="1"/>
  <c r="E155" i="16" s="1"/>
  <c r="C42" i="3"/>
  <c r="C58" i="17"/>
  <c r="Q11" i="30" s="1"/>
  <c r="T153" i="16"/>
  <c r="I153" i="16" s="1"/>
  <c r="F153" i="16" s="1"/>
  <c r="C46" i="3"/>
  <c r="T125" i="16"/>
  <c r="H125" i="16" s="1"/>
  <c r="E125" i="16" s="1"/>
  <c r="T7" i="16"/>
  <c r="I7" i="16" s="1"/>
  <c r="F7" i="16" s="1"/>
  <c r="C39" i="3"/>
  <c r="T71" i="16"/>
  <c r="H71" i="16" s="1"/>
  <c r="E71" i="16" s="1"/>
  <c r="C47" i="3"/>
  <c r="Y56" i="20"/>
  <c r="Y80" i="20"/>
  <c r="Y134" i="20"/>
  <c r="Y95" i="20"/>
  <c r="T154" i="16"/>
  <c r="I154" i="16" s="1"/>
  <c r="F154" i="16" s="1"/>
  <c r="T39" i="16"/>
  <c r="I39" i="16" s="1"/>
  <c r="F39" i="16" s="1"/>
  <c r="Y49" i="20"/>
  <c r="T173" i="16"/>
  <c r="H173" i="16" s="1"/>
  <c r="E173" i="16" s="1"/>
  <c r="Y218" i="20"/>
  <c r="C48" i="3"/>
  <c r="C51" i="3"/>
  <c r="Y179" i="20"/>
  <c r="Y100" i="20"/>
  <c r="T139" i="16"/>
  <c r="I139" i="16" s="1"/>
  <c r="F139" i="16" s="1"/>
  <c r="D92" i="3"/>
  <c r="T197" i="16"/>
  <c r="I197" i="16" s="1"/>
  <c r="F197" i="16" s="1"/>
  <c r="T176" i="16"/>
  <c r="I176" i="16" s="1"/>
  <c r="F176" i="16" s="1"/>
  <c r="T200" i="16"/>
  <c r="I200" i="16" s="1"/>
  <c r="F200" i="16" s="1"/>
  <c r="D73" i="4"/>
  <c r="O5" i="7" s="1"/>
  <c r="Q5" i="7" s="1"/>
  <c r="T74" i="16"/>
  <c r="H74" i="16" s="1"/>
  <c r="E74" i="16" s="1"/>
  <c r="T47" i="16"/>
  <c r="H47" i="16" s="1"/>
  <c r="E47" i="16" s="1"/>
  <c r="Y141" i="20"/>
  <c r="T51" i="16"/>
  <c r="H51" i="16" s="1"/>
  <c r="E51" i="16" s="1"/>
  <c r="Y183" i="20"/>
  <c r="C49" i="27"/>
  <c r="Q63" i="30" s="1"/>
  <c r="T212" i="16"/>
  <c r="I212" i="16" s="1"/>
  <c r="F212" i="16" s="1"/>
  <c r="T167" i="16"/>
  <c r="I167" i="16" s="1"/>
  <c r="F167" i="16" s="1"/>
  <c r="AG75" i="3"/>
  <c r="Y136" i="20"/>
  <c r="T253" i="16"/>
  <c r="I253" i="16" s="1"/>
  <c r="F253" i="16" s="1"/>
  <c r="Y140" i="20"/>
  <c r="Y78" i="20"/>
  <c r="Y131" i="20"/>
  <c r="Y258" i="20"/>
  <c r="Y229" i="20"/>
  <c r="T123" i="16"/>
  <c r="H123" i="16" s="1"/>
  <c r="E123" i="16" s="1"/>
  <c r="Y132" i="20"/>
  <c r="Y64" i="20"/>
  <c r="T70" i="16"/>
  <c r="I70" i="16" s="1"/>
  <c r="F70" i="16" s="1"/>
  <c r="T156" i="16"/>
  <c r="H156" i="16" s="1"/>
  <c r="E156" i="16" s="1"/>
  <c r="T46" i="16"/>
  <c r="I46" i="16" s="1"/>
  <c r="F46" i="16" s="1"/>
  <c r="Y248" i="20"/>
  <c r="Y77" i="20"/>
  <c r="T254" i="16"/>
  <c r="I254" i="16" s="1"/>
  <c r="F254" i="16" s="1"/>
  <c r="Y51" i="20"/>
  <c r="T199" i="16"/>
  <c r="H199" i="16" s="1"/>
  <c r="E199" i="16" s="1"/>
  <c r="D94" i="3"/>
  <c r="E15" i="4" s="1"/>
  <c r="E54" i="4" s="1"/>
  <c r="T219" i="16"/>
  <c r="I219" i="16" s="1"/>
  <c r="F219" i="16" s="1"/>
  <c r="C48" i="27"/>
  <c r="Q62" i="30" s="1"/>
  <c r="T172" i="16"/>
  <c r="I172" i="16" s="1"/>
  <c r="F172" i="16" s="1"/>
  <c r="T168" i="16"/>
  <c r="H168" i="16" s="1"/>
  <c r="E168" i="16" s="1"/>
  <c r="Y182" i="20"/>
  <c r="T132" i="16"/>
  <c r="I132" i="16" s="1"/>
  <c r="F132" i="16" s="1"/>
  <c r="Y221" i="20"/>
  <c r="D88" i="4"/>
  <c r="O7" i="7" s="1"/>
  <c r="T249" i="16"/>
  <c r="I249" i="16" s="1"/>
  <c r="F249" i="16" s="1"/>
  <c r="T130" i="16"/>
  <c r="I130" i="16" s="1"/>
  <c r="F130" i="16" s="1"/>
  <c r="T224" i="16"/>
  <c r="H224" i="16" s="1"/>
  <c r="E224" i="16" s="1"/>
  <c r="C41" i="3"/>
  <c r="Y14" i="20"/>
  <c r="C38" i="3"/>
  <c r="C49" i="3"/>
  <c r="C43" i="3"/>
  <c r="C50" i="27"/>
  <c r="Q64" i="30" s="1"/>
  <c r="C47" i="27"/>
  <c r="Q61" i="30" s="1"/>
  <c r="C44" i="3"/>
  <c r="C45" i="3"/>
  <c r="D58" i="4"/>
  <c r="B56" i="28" s="1"/>
  <c r="T165" i="16"/>
  <c r="I165" i="16" s="1"/>
  <c r="F165" i="16" s="1"/>
  <c r="Y230" i="20"/>
  <c r="F19" i="2"/>
  <c r="F7" i="4" s="1"/>
  <c r="Y139" i="20"/>
  <c r="T49" i="16"/>
  <c r="I49" i="16" s="1"/>
  <c r="F49" i="16" s="1"/>
  <c r="Y48" i="20"/>
  <c r="T239" i="16"/>
  <c r="I239" i="16" s="1"/>
  <c r="F239" i="16" s="1"/>
  <c r="D90" i="3"/>
  <c r="E13" i="4" s="1"/>
  <c r="E52" i="4" s="1"/>
  <c r="D88" i="3"/>
  <c r="E11" i="4" s="1"/>
  <c r="E50" i="4" s="1"/>
  <c r="C36" i="25"/>
  <c r="C35" i="25"/>
  <c r="D10" i="25"/>
  <c r="C37" i="25"/>
  <c r="C34" i="25"/>
  <c r="C29" i="25"/>
  <c r="C40" i="25"/>
  <c r="C31" i="25"/>
  <c r="C38" i="25"/>
  <c r="C30" i="25"/>
  <c r="C39" i="25"/>
  <c r="C32" i="25"/>
  <c r="C33" i="25"/>
  <c r="E59" i="4"/>
  <c r="I73" i="16"/>
  <c r="F73" i="16" s="1"/>
  <c r="H73" i="16"/>
  <c r="E73" i="16" s="1"/>
  <c r="O7" i="16"/>
  <c r="I9" i="20" a="1"/>
  <c r="I97" i="16"/>
  <c r="F97" i="16" s="1"/>
  <c r="H97" i="16"/>
  <c r="E97" i="16" s="1"/>
  <c r="AG110" i="3"/>
  <c r="AI23" i="4" s="1"/>
  <c r="AG112" i="3"/>
  <c r="Y122" i="20"/>
  <c r="T114" i="16"/>
  <c r="AG114" i="3"/>
  <c r="AI26" i="4" s="1"/>
  <c r="I19" i="16"/>
  <c r="F19" i="16" s="1"/>
  <c r="H19" i="16"/>
  <c r="E19" i="16" s="1"/>
  <c r="H181" i="16"/>
  <c r="E181" i="16" s="1"/>
  <c r="I181" i="16"/>
  <c r="F181" i="16" s="1"/>
  <c r="I169" i="16"/>
  <c r="F169" i="16" s="1"/>
  <c r="H169" i="16"/>
  <c r="E169" i="16" s="1"/>
  <c r="I54" i="16"/>
  <c r="F54" i="16" s="1"/>
  <c r="H54" i="16"/>
  <c r="E54" i="16" s="1"/>
  <c r="I235" i="16"/>
  <c r="F235" i="16" s="1"/>
  <c r="H235" i="16"/>
  <c r="E235" i="16" s="1"/>
  <c r="AF47" i="3"/>
  <c r="AF44" i="3"/>
  <c r="AF39" i="3"/>
  <c r="AF51" i="3"/>
  <c r="AF43" i="3"/>
  <c r="AF42" i="3"/>
  <c r="AF50" i="3"/>
  <c r="AF48" i="3"/>
  <c r="AF40" i="3"/>
  <c r="AF38" i="3"/>
  <c r="AF46" i="3"/>
  <c r="AF49" i="3"/>
  <c r="AF41" i="3"/>
  <c r="AF45" i="3"/>
  <c r="K63" i="4"/>
  <c r="F5" i="4"/>
  <c r="E103" i="3"/>
  <c r="G17" i="2"/>
  <c r="I228" i="16"/>
  <c r="F228" i="16" s="1"/>
  <c r="H228" i="16"/>
  <c r="E228" i="16" s="1"/>
  <c r="I225" i="16"/>
  <c r="F225" i="16" s="1"/>
  <c r="H225" i="16"/>
  <c r="E225" i="16" s="1"/>
  <c r="H95" i="16"/>
  <c r="E95" i="16" s="1"/>
  <c r="I95" i="16"/>
  <c r="F95" i="16" s="1"/>
  <c r="I26" i="16"/>
  <c r="F26" i="16" s="1"/>
  <c r="H26" i="16"/>
  <c r="E26" i="16" s="1"/>
  <c r="I15" i="16"/>
  <c r="F15" i="16" s="1"/>
  <c r="H15" i="16"/>
  <c r="E15" i="16" s="1"/>
  <c r="AG83" i="3"/>
  <c r="I210" i="16"/>
  <c r="F210" i="16" s="1"/>
  <c r="H210" i="16"/>
  <c r="E210" i="16" s="1"/>
  <c r="I221" i="16"/>
  <c r="F221" i="16" s="1"/>
  <c r="H221" i="16"/>
  <c r="E221" i="16" s="1"/>
  <c r="I183" i="16"/>
  <c r="F183" i="16" s="1"/>
  <c r="H183" i="16"/>
  <c r="E183" i="16" s="1"/>
  <c r="I141" i="16"/>
  <c r="F141" i="16" s="1"/>
  <c r="H141" i="16"/>
  <c r="E141" i="16" s="1"/>
  <c r="I187" i="16"/>
  <c r="F187" i="16" s="1"/>
  <c r="H187" i="16"/>
  <c r="E187" i="16" s="1"/>
  <c r="I16" i="16"/>
  <c r="F16" i="16" s="1"/>
  <c r="H16" i="16"/>
  <c r="E16" i="16" s="1"/>
  <c r="I103" i="16"/>
  <c r="F103" i="16" s="1"/>
  <c r="H103" i="16"/>
  <c r="E103" i="16" s="1"/>
  <c r="G11" i="13"/>
  <c r="G12" i="13"/>
  <c r="G13" i="13"/>
  <c r="G14" i="13"/>
  <c r="G8" i="13"/>
  <c r="G7" i="13"/>
  <c r="G6" i="13"/>
  <c r="G5" i="13"/>
  <c r="G4" i="13"/>
  <c r="G3" i="13"/>
  <c r="G10" i="13"/>
  <c r="G9" i="13"/>
  <c r="AG80" i="3"/>
  <c r="H79" i="16"/>
  <c r="E79" i="16" s="1"/>
  <c r="I79" i="16"/>
  <c r="F79" i="16" s="1"/>
  <c r="I247" i="16"/>
  <c r="F247" i="16" s="1"/>
  <c r="H247" i="16"/>
  <c r="E247" i="16" s="1"/>
  <c r="I245" i="16"/>
  <c r="F245" i="16" s="1"/>
  <c r="H245" i="16"/>
  <c r="E245" i="16" s="1"/>
  <c r="D97" i="3"/>
  <c r="E17" i="4" s="1"/>
  <c r="H109" i="16"/>
  <c r="E109" i="16" s="1"/>
  <c r="I109" i="16"/>
  <c r="F109" i="16" s="1"/>
  <c r="I209" i="16"/>
  <c r="F209" i="16" s="1"/>
  <c r="H209" i="16"/>
  <c r="E209" i="16" s="1"/>
  <c r="I160" i="16"/>
  <c r="F160" i="16" s="1"/>
  <c r="H160" i="16"/>
  <c r="E160" i="16" s="1"/>
  <c r="I66" i="16"/>
  <c r="F66" i="16" s="1"/>
  <c r="H66" i="16"/>
  <c r="E66" i="16" s="1"/>
  <c r="I96" i="16"/>
  <c r="F96" i="16" s="1"/>
  <c r="H96" i="16"/>
  <c r="E96" i="16" s="1"/>
  <c r="H10" i="24"/>
  <c r="H13" i="24" s="1"/>
  <c r="I251" i="16"/>
  <c r="F251" i="16" s="1"/>
  <c r="H251" i="16"/>
  <c r="E251" i="16" s="1"/>
  <c r="I198" i="16"/>
  <c r="F198" i="16" s="1"/>
  <c r="H198" i="16"/>
  <c r="E198" i="16" s="1"/>
  <c r="I25" i="16"/>
  <c r="F25" i="16" s="1"/>
  <c r="H25" i="16"/>
  <c r="E25" i="16" s="1"/>
  <c r="I131" i="16"/>
  <c r="F131" i="16" s="1"/>
  <c r="H131" i="16"/>
  <c r="E131" i="16" s="1"/>
  <c r="I126" i="16"/>
  <c r="F126" i="16" s="1"/>
  <c r="H126" i="16"/>
  <c r="E126" i="16" s="1"/>
  <c r="H127" i="16"/>
  <c r="E127" i="16" s="1"/>
  <c r="I127" i="16"/>
  <c r="F127" i="16" s="1"/>
  <c r="H147" i="16"/>
  <c r="E147" i="16" s="1"/>
  <c r="I147" i="16"/>
  <c r="F147" i="16" s="1"/>
  <c r="I61" i="16"/>
  <c r="F61" i="16" s="1"/>
  <c r="H61" i="16"/>
  <c r="E61" i="16" s="1"/>
  <c r="I23" i="16"/>
  <c r="F23" i="16" s="1"/>
  <c r="H23" i="16"/>
  <c r="E23" i="16" s="1"/>
  <c r="I43" i="16"/>
  <c r="F43" i="16" s="1"/>
  <c r="H43" i="16"/>
  <c r="E43" i="16" s="1"/>
  <c r="AG77" i="3"/>
  <c r="I234" i="16"/>
  <c r="F234" i="16" s="1"/>
  <c r="H234" i="16"/>
  <c r="E234" i="16" s="1"/>
  <c r="I237" i="16"/>
  <c r="F237" i="16" s="1"/>
  <c r="H237" i="16"/>
  <c r="E237" i="16" s="1"/>
  <c r="I50" i="16"/>
  <c r="F50" i="16" s="1"/>
  <c r="H50" i="16"/>
  <c r="E50" i="16" s="1"/>
  <c r="H99" i="16"/>
  <c r="E99" i="16" s="1"/>
  <c r="I99" i="16"/>
  <c r="F99" i="16" s="1"/>
  <c r="I223" i="16"/>
  <c r="F223" i="16" s="1"/>
  <c r="H223" i="16"/>
  <c r="E223" i="16" s="1"/>
  <c r="I20" i="16"/>
  <c r="F20" i="16" s="1"/>
  <c r="H20" i="16"/>
  <c r="E20" i="16" s="1"/>
  <c r="AG149" i="3"/>
  <c r="I232" i="16"/>
  <c r="F232" i="16" s="1"/>
  <c r="H232" i="16"/>
  <c r="E232" i="16" s="1"/>
  <c r="I17" i="16"/>
  <c r="F17" i="16" s="1"/>
  <c r="H17" i="16"/>
  <c r="E17" i="16" s="1"/>
  <c r="I10" i="16"/>
  <c r="F10" i="16" s="1"/>
  <c r="H10" i="16"/>
  <c r="E10" i="16" s="1"/>
  <c r="I182" i="16"/>
  <c r="F182" i="16" s="1"/>
  <c r="H182" i="16"/>
  <c r="E182" i="16" s="1"/>
  <c r="I121" i="16"/>
  <c r="F121" i="16" s="1"/>
  <c r="H121" i="16"/>
  <c r="E121" i="16" s="1"/>
  <c r="I133" i="16"/>
  <c r="F133" i="16" s="1"/>
  <c r="H133" i="16"/>
  <c r="E133" i="16" s="1"/>
  <c r="I77" i="16"/>
  <c r="F77" i="16" s="1"/>
  <c r="H77" i="16"/>
  <c r="E77" i="16" s="1"/>
  <c r="I207" i="16"/>
  <c r="F207" i="16" s="1"/>
  <c r="H207" i="16"/>
  <c r="E207" i="16" s="1"/>
  <c r="I80" i="16"/>
  <c r="F80" i="16" s="1"/>
  <c r="H80" i="16"/>
  <c r="E80" i="16" s="1"/>
  <c r="I171" i="16"/>
  <c r="F171" i="16" s="1"/>
  <c r="H171" i="16"/>
  <c r="E171" i="16" s="1"/>
  <c r="G78" i="4"/>
  <c r="F108" i="4"/>
  <c r="F128" i="4" s="1"/>
  <c r="H51" i="5"/>
  <c r="G55" i="5"/>
  <c r="Y149" i="20"/>
  <c r="C16" i="28"/>
  <c r="E15" i="28"/>
  <c r="G14" i="28"/>
  <c r="I13" i="28"/>
  <c r="I16" i="28"/>
  <c r="J15" i="28"/>
  <c r="A15" i="28"/>
  <c r="B14" i="28"/>
  <c r="C13" i="28"/>
  <c r="E12" i="28"/>
  <c r="G11" i="28"/>
  <c r="I10" i="28"/>
  <c r="A10" i="28"/>
  <c r="C9" i="28"/>
  <c r="E8" i="28"/>
  <c r="G7" i="28"/>
  <c r="I6" i="28"/>
  <c r="A6" i="28"/>
  <c r="C5" i="28"/>
  <c r="G16" i="28"/>
  <c r="H15" i="28"/>
  <c r="I14" i="28"/>
  <c r="J13" i="28"/>
  <c r="A13" i="28"/>
  <c r="C12" i="28"/>
  <c r="E11" i="28"/>
  <c r="G10" i="28"/>
  <c r="I9" i="28"/>
  <c r="A9" i="28"/>
  <c r="C8" i="28"/>
  <c r="E7" i="28"/>
  <c r="G6" i="28"/>
  <c r="I5" i="28"/>
  <c r="F16" i="28"/>
  <c r="G15" i="28"/>
  <c r="H14" i="28"/>
  <c r="H13" i="28"/>
  <c r="J12" i="28"/>
  <c r="B12" i="28"/>
  <c r="D11" i="28"/>
  <c r="F10" i="28"/>
  <c r="H9" i="28"/>
  <c r="J8" i="28"/>
  <c r="B8" i="28"/>
  <c r="D7" i="28"/>
  <c r="F6" i="28"/>
  <c r="H5" i="28"/>
  <c r="A5" i="28"/>
  <c r="E16" i="28"/>
  <c r="F15" i="28"/>
  <c r="F14" i="28"/>
  <c r="G13" i="28"/>
  <c r="I12" i="28"/>
  <c r="A12" i="28"/>
  <c r="C11" i="28"/>
  <c r="E10" i="28"/>
  <c r="G9" i="28"/>
  <c r="I8" i="28"/>
  <c r="A8" i="28"/>
  <c r="C7" i="28"/>
  <c r="E6" i="28"/>
  <c r="G5" i="28"/>
  <c r="D16" i="28"/>
  <c r="D15" i="28"/>
  <c r="E14" i="28"/>
  <c r="F13" i="28"/>
  <c r="H12" i="28"/>
  <c r="J11" i="28"/>
  <c r="B11" i="28"/>
  <c r="D10" i="28"/>
  <c r="F9" i="28"/>
  <c r="H8" i="28"/>
  <c r="J7" i="28"/>
  <c r="B7" i="28"/>
  <c r="D6" i="28"/>
  <c r="F5" i="28"/>
  <c r="B16" i="28"/>
  <c r="C15" i="28"/>
  <c r="D14" i="28"/>
  <c r="E13" i="28"/>
  <c r="G12" i="28"/>
  <c r="I11" i="28"/>
  <c r="A11" i="28"/>
  <c r="C10" i="28"/>
  <c r="E9" i="28"/>
  <c r="G8" i="28"/>
  <c r="I7" i="28"/>
  <c r="A7" i="28"/>
  <c r="C6" i="28"/>
  <c r="E5" i="28"/>
  <c r="I15" i="28"/>
  <c r="D12" i="28"/>
  <c r="B9" i="28"/>
  <c r="J5" i="28"/>
  <c r="B15" i="28"/>
  <c r="H11" i="28"/>
  <c r="F8" i="28"/>
  <c r="D5" i="28"/>
  <c r="J14" i="28"/>
  <c r="F11" i="28"/>
  <c r="D8" i="28"/>
  <c r="B5" i="28"/>
  <c r="C14" i="28"/>
  <c r="J10" i="28"/>
  <c r="H7" i="28"/>
  <c r="A14" i="28"/>
  <c r="H10" i="28"/>
  <c r="F7" i="28"/>
  <c r="A16" i="28"/>
  <c r="F12" i="28"/>
  <c r="D9" i="28"/>
  <c r="B6" i="28"/>
  <c r="B13" i="28"/>
  <c r="B10" i="28"/>
  <c r="J9" i="28"/>
  <c r="H6" i="28"/>
  <c r="J16" i="28"/>
  <c r="D13" i="28"/>
  <c r="J6" i="28"/>
  <c r="H16" i="28"/>
  <c r="Y225" i="20"/>
  <c r="T217" i="16"/>
  <c r="Y94" i="20"/>
  <c r="T86" i="16"/>
  <c r="Y253" i="20"/>
  <c r="I81" i="16"/>
  <c r="F81" i="16" s="1"/>
  <c r="H81" i="16"/>
  <c r="E81" i="16" s="1"/>
  <c r="I238" i="16"/>
  <c r="F238" i="16" s="1"/>
  <c r="H238" i="16"/>
  <c r="E238" i="16" s="1"/>
  <c r="I170" i="16"/>
  <c r="F170" i="16" s="1"/>
  <c r="H170" i="16"/>
  <c r="E170" i="16" s="1"/>
  <c r="H55" i="16"/>
  <c r="E55" i="16" s="1"/>
  <c r="I55" i="16"/>
  <c r="F55" i="16" s="1"/>
  <c r="K55" i="4"/>
  <c r="I174" i="16"/>
  <c r="F174" i="16" s="1"/>
  <c r="H174" i="16"/>
  <c r="E174" i="16" s="1"/>
  <c r="AG142" i="3"/>
  <c r="I220" i="16"/>
  <c r="F220" i="16" s="1"/>
  <c r="H220" i="16"/>
  <c r="E220" i="16" s="1"/>
  <c r="I42" i="16"/>
  <c r="F42" i="16" s="1"/>
  <c r="H42" i="16"/>
  <c r="E42" i="16" s="1"/>
  <c r="AG82" i="3"/>
  <c r="AI18" i="4" s="1"/>
  <c r="I35" i="16"/>
  <c r="F35" i="16" s="1"/>
  <c r="H35" i="16"/>
  <c r="E35" i="16" s="1"/>
  <c r="Y240" i="20"/>
  <c r="I233" i="16"/>
  <c r="F233" i="16" s="1"/>
  <c r="H233" i="16"/>
  <c r="E233" i="16" s="1"/>
  <c r="H175" i="16"/>
  <c r="E175" i="16" s="1"/>
  <c r="I175" i="16"/>
  <c r="F175" i="16" s="1"/>
  <c r="Y223" i="20"/>
  <c r="T215" i="16"/>
  <c r="AG138" i="3"/>
  <c r="AI29" i="4" s="1"/>
  <c r="AG25" i="4"/>
  <c r="I246" i="16"/>
  <c r="F246" i="16" s="1"/>
  <c r="H246" i="16"/>
  <c r="E246" i="16" s="1"/>
  <c r="I193" i="16"/>
  <c r="F193" i="16" s="1"/>
  <c r="H193" i="16"/>
  <c r="E193" i="16" s="1"/>
  <c r="I31" i="16"/>
  <c r="F31" i="16" s="1"/>
  <c r="H31" i="16"/>
  <c r="E31" i="16" s="1"/>
  <c r="I144" i="16"/>
  <c r="F144" i="16" s="1"/>
  <c r="H144" i="16"/>
  <c r="E144" i="16" s="1"/>
  <c r="I75" i="16"/>
  <c r="F75" i="16" s="1"/>
  <c r="H75" i="16"/>
  <c r="E75" i="16" s="1"/>
  <c r="I135" i="16"/>
  <c r="F135" i="16" s="1"/>
  <c r="H135" i="16"/>
  <c r="E135" i="16" s="1"/>
  <c r="Q8" i="7"/>
  <c r="P8" i="7"/>
  <c r="I194" i="16"/>
  <c r="F194" i="16" s="1"/>
  <c r="H194" i="16"/>
  <c r="E194" i="16" s="1"/>
  <c r="I179" i="16"/>
  <c r="F179" i="16" s="1"/>
  <c r="H179" i="16"/>
  <c r="E179" i="16" s="1"/>
  <c r="I117" i="16"/>
  <c r="F117" i="16" s="1"/>
  <c r="H117" i="16"/>
  <c r="E117" i="16" s="1"/>
  <c r="I68" i="16"/>
  <c r="F68" i="16" s="1"/>
  <c r="H68" i="16"/>
  <c r="E68" i="16" s="1"/>
  <c r="I163" i="16"/>
  <c r="F163" i="16" s="1"/>
  <c r="H163" i="16"/>
  <c r="E163" i="16" s="1"/>
  <c r="I138" i="16"/>
  <c r="F138" i="16" s="1"/>
  <c r="H138" i="16"/>
  <c r="E138" i="16" s="1"/>
  <c r="AG73" i="3"/>
  <c r="AI12" i="4" s="1"/>
  <c r="Y216" i="20"/>
  <c r="T208" i="16"/>
  <c r="I159" i="16"/>
  <c r="F159" i="16" s="1"/>
  <c r="H159" i="16"/>
  <c r="E159" i="16" s="1"/>
  <c r="I48" i="16"/>
  <c r="F48" i="16" s="1"/>
  <c r="H48" i="16"/>
  <c r="E48" i="16" s="1"/>
  <c r="H13" i="16"/>
  <c r="E13" i="16" s="1"/>
  <c r="I13" i="16"/>
  <c r="F13" i="16" s="1"/>
  <c r="I87" i="16"/>
  <c r="F87" i="16" s="1"/>
  <c r="H87" i="16"/>
  <c r="E87" i="16" s="1"/>
  <c r="Y120" i="20"/>
  <c r="T112" i="16"/>
  <c r="I213" i="16"/>
  <c r="F213" i="16" s="1"/>
  <c r="H213" i="16"/>
  <c r="E213" i="16" s="1"/>
  <c r="Y91" i="20"/>
  <c r="T83" i="16"/>
  <c r="I206" i="16"/>
  <c r="F206" i="16" s="1"/>
  <c r="H206" i="16"/>
  <c r="E206" i="16" s="1"/>
  <c r="H45" i="16"/>
  <c r="E45" i="16" s="1"/>
  <c r="I45" i="16"/>
  <c r="F45" i="16" s="1"/>
  <c r="I89" i="16"/>
  <c r="F89" i="16" s="1"/>
  <c r="H89" i="16"/>
  <c r="E89" i="16" s="1"/>
  <c r="I128" i="16"/>
  <c r="F128" i="16" s="1"/>
  <c r="H128" i="16"/>
  <c r="E128" i="16" s="1"/>
  <c r="I63" i="16"/>
  <c r="F63" i="16" s="1"/>
  <c r="H63" i="16"/>
  <c r="E63" i="16" s="1"/>
  <c r="I58" i="16"/>
  <c r="F58" i="16" s="1"/>
  <c r="H58" i="16"/>
  <c r="E58" i="16" s="1"/>
  <c r="AG147" i="3"/>
  <c r="AI35" i="4" s="1"/>
  <c r="I202" i="16"/>
  <c r="F202" i="16" s="1"/>
  <c r="H202" i="16"/>
  <c r="E202" i="16" s="1"/>
  <c r="I205" i="16"/>
  <c r="F205" i="16" s="1"/>
  <c r="H205" i="16"/>
  <c r="E205" i="16" s="1"/>
  <c r="I149" i="16"/>
  <c r="F149" i="16" s="1"/>
  <c r="H149" i="16"/>
  <c r="E149" i="16" s="1"/>
  <c r="I41" i="16"/>
  <c r="F41" i="16" s="1"/>
  <c r="H41" i="16"/>
  <c r="E41" i="16" s="1"/>
  <c r="I60" i="16"/>
  <c r="F60" i="16" s="1"/>
  <c r="H60" i="16"/>
  <c r="E60" i="16" s="1"/>
  <c r="Y219" i="20"/>
  <c r="T211" i="16"/>
  <c r="G4" i="4"/>
  <c r="F70" i="3"/>
  <c r="H16" i="2"/>
  <c r="I101" i="4"/>
  <c r="I123" i="4" s="1"/>
  <c r="J56" i="4"/>
  <c r="Y224" i="20"/>
  <c r="T216" i="16"/>
  <c r="I57" i="16"/>
  <c r="F57" i="16" s="1"/>
  <c r="H57" i="16"/>
  <c r="E57" i="16" s="1"/>
  <c r="I243" i="16"/>
  <c r="F243" i="16" s="1"/>
  <c r="H243" i="16"/>
  <c r="E243" i="16" s="1"/>
  <c r="D142" i="3"/>
  <c r="D158" i="3" s="1"/>
  <c r="D140" i="3"/>
  <c r="D156" i="3" s="1"/>
  <c r="E31" i="4" s="1"/>
  <c r="D150" i="3"/>
  <c r="D141" i="3"/>
  <c r="D157" i="3" s="1"/>
  <c r="D146" i="3"/>
  <c r="D162" i="3" s="1"/>
  <c r="D137" i="3"/>
  <c r="D153" i="3" s="1"/>
  <c r="E28" i="4" s="1"/>
  <c r="D145" i="3"/>
  <c r="D161" i="3" s="1"/>
  <c r="D144" i="3"/>
  <c r="D160" i="3" s="1"/>
  <c r="E33" i="4" s="1"/>
  <c r="D143" i="3"/>
  <c r="D159" i="3" s="1"/>
  <c r="E32" i="4" s="1"/>
  <c r="D148" i="3"/>
  <c r="D164" i="3" s="1"/>
  <c r="E36" i="4" s="1"/>
  <c r="D149" i="3"/>
  <c r="D165" i="3" s="1"/>
  <c r="D139" i="3"/>
  <c r="D155" i="3" s="1"/>
  <c r="E30" i="4" s="1"/>
  <c r="D138" i="3"/>
  <c r="D154" i="3" s="1"/>
  <c r="E29" i="4" s="1"/>
  <c r="D147" i="3"/>
  <c r="D163" i="3" s="1"/>
  <c r="E35" i="4" s="1"/>
  <c r="I166" i="16"/>
  <c r="F166" i="16" s="1"/>
  <c r="H166" i="16"/>
  <c r="E166" i="16" s="1"/>
  <c r="I158" i="16"/>
  <c r="F158" i="16" s="1"/>
  <c r="H158" i="16"/>
  <c r="E158" i="16" s="1"/>
  <c r="I69" i="16"/>
  <c r="F69" i="16" s="1"/>
  <c r="H69" i="16"/>
  <c r="E69" i="16" s="1"/>
  <c r="I21" i="16"/>
  <c r="F21" i="16" s="1"/>
  <c r="H21" i="16"/>
  <c r="E21" i="16" s="1"/>
  <c r="I107" i="16"/>
  <c r="F107" i="16" s="1"/>
  <c r="H107" i="16"/>
  <c r="E107" i="16" s="1"/>
  <c r="I11" i="16"/>
  <c r="F11" i="16" s="1"/>
  <c r="H11" i="16"/>
  <c r="E11" i="16" s="1"/>
  <c r="D116" i="3"/>
  <c r="D132" i="3" s="1"/>
  <c r="D113" i="3"/>
  <c r="D129" i="3" s="1"/>
  <c r="D109" i="3"/>
  <c r="D125" i="3" s="1"/>
  <c r="D112" i="3"/>
  <c r="D128" i="3" s="1"/>
  <c r="D111" i="3"/>
  <c r="D127" i="3" s="1"/>
  <c r="E24" i="4" s="1"/>
  <c r="D117" i="3"/>
  <c r="D110" i="3"/>
  <c r="D126" i="3" s="1"/>
  <c r="E23" i="4" s="1"/>
  <c r="D106" i="3"/>
  <c r="D122" i="3" s="1"/>
  <c r="E21" i="4" s="1"/>
  <c r="D107" i="3"/>
  <c r="D123" i="3" s="1"/>
  <c r="E22" i="4" s="1"/>
  <c r="D104" i="3"/>
  <c r="D120" i="3" s="1"/>
  <c r="E19" i="4" s="1"/>
  <c r="D114" i="3"/>
  <c r="D130" i="3" s="1"/>
  <c r="E26" i="4" s="1"/>
  <c r="D108" i="3"/>
  <c r="D124" i="3" s="1"/>
  <c r="D105" i="3"/>
  <c r="D121" i="3" s="1"/>
  <c r="E20" i="4" s="1"/>
  <c r="D115" i="3"/>
  <c r="D131" i="3" s="1"/>
  <c r="E27" i="4" s="1"/>
  <c r="AH16" i="4"/>
  <c r="Y146" i="20"/>
  <c r="AG79" i="3"/>
  <c r="I192" i="16"/>
  <c r="F192" i="16" s="1"/>
  <c r="H192" i="16"/>
  <c r="E192" i="16" s="1"/>
  <c r="Y121" i="20"/>
  <c r="T113" i="16"/>
  <c r="Y90" i="20"/>
  <c r="T82" i="16"/>
  <c r="Y53" i="20"/>
  <c r="Y97" i="20"/>
  <c r="I148" i="16"/>
  <c r="F148" i="16" s="1"/>
  <c r="H148" i="16"/>
  <c r="E148" i="16" s="1"/>
  <c r="I222" i="16"/>
  <c r="F222" i="16" s="1"/>
  <c r="H222" i="16"/>
  <c r="E222" i="16" s="1"/>
  <c r="I218" i="16"/>
  <c r="F218" i="16" s="1"/>
  <c r="H218" i="16"/>
  <c r="E218" i="16" s="1"/>
  <c r="I250" i="16"/>
  <c r="F250" i="16" s="1"/>
  <c r="H250" i="16"/>
  <c r="E250" i="16" s="1"/>
  <c r="I102" i="16"/>
  <c r="F102" i="16" s="1"/>
  <c r="H102" i="16"/>
  <c r="E102" i="16" s="1"/>
  <c r="I161" i="16"/>
  <c r="F161" i="16" s="1"/>
  <c r="H161" i="16"/>
  <c r="E161" i="16" s="1"/>
  <c r="I18" i="16"/>
  <c r="F18" i="16" s="1"/>
  <c r="H18" i="16"/>
  <c r="E18" i="16" s="1"/>
  <c r="AG71" i="3"/>
  <c r="AI10" i="4" s="1"/>
  <c r="AG139" i="3"/>
  <c r="AI30" i="4" s="1"/>
  <c r="I204" i="16"/>
  <c r="F204" i="16" s="1"/>
  <c r="H204" i="16"/>
  <c r="E204" i="16" s="1"/>
  <c r="I157" i="16"/>
  <c r="F157" i="16" s="1"/>
  <c r="H157" i="16"/>
  <c r="E157" i="16" s="1"/>
  <c r="I100" i="16"/>
  <c r="F100" i="16" s="1"/>
  <c r="H100" i="16"/>
  <c r="E100" i="16" s="1"/>
  <c r="I231" i="16"/>
  <c r="F231" i="16" s="1"/>
  <c r="H231" i="16"/>
  <c r="E231" i="16" s="1"/>
  <c r="I94" i="16"/>
  <c r="F94" i="16" s="1"/>
  <c r="H94" i="16"/>
  <c r="E94" i="16" s="1"/>
  <c r="I38" i="16"/>
  <c r="F38" i="16" s="1"/>
  <c r="H38" i="16"/>
  <c r="E38" i="16" s="1"/>
  <c r="I201" i="16"/>
  <c r="F201" i="16" s="1"/>
  <c r="H201" i="16"/>
  <c r="E201" i="16" s="1"/>
  <c r="I136" i="16"/>
  <c r="F136" i="16" s="1"/>
  <c r="H136" i="16"/>
  <c r="E136" i="16" s="1"/>
  <c r="I78" i="16"/>
  <c r="F78" i="16" s="1"/>
  <c r="H78" i="16"/>
  <c r="E78" i="16" s="1"/>
  <c r="Y65" i="20"/>
  <c r="I230" i="16"/>
  <c r="F230" i="16" s="1"/>
  <c r="H230" i="16"/>
  <c r="E230" i="16" s="1"/>
  <c r="E7" i="4"/>
  <c r="E20" i="2"/>
  <c r="D19" i="3"/>
  <c r="AG19" i="3" s="1"/>
  <c r="AI7" i="4" s="1"/>
  <c r="AG104" i="3"/>
  <c r="AI19" i="4" s="1"/>
  <c r="I196" i="16"/>
  <c r="F196" i="16" s="1"/>
  <c r="H196" i="16"/>
  <c r="E196" i="16" s="1"/>
  <c r="I108" i="16"/>
  <c r="F108" i="16" s="1"/>
  <c r="H108" i="16"/>
  <c r="E108" i="16" s="1"/>
  <c r="I120" i="16"/>
  <c r="F120" i="16" s="1"/>
  <c r="H120" i="16"/>
  <c r="E120" i="16" s="1"/>
  <c r="I52" i="16"/>
  <c r="F52" i="16" s="1"/>
  <c r="H52" i="16"/>
  <c r="E52" i="16" s="1"/>
  <c r="I90" i="16"/>
  <c r="F90" i="16" s="1"/>
  <c r="H90" i="16"/>
  <c r="E90" i="16" s="1"/>
  <c r="I22" i="16"/>
  <c r="F22" i="16" s="1"/>
  <c r="H22" i="16"/>
  <c r="E22" i="16" s="1"/>
  <c r="B37" i="18"/>
  <c r="B36" i="18"/>
  <c r="I242" i="16"/>
  <c r="F242" i="16" s="1"/>
  <c r="H242" i="16"/>
  <c r="E242" i="16" s="1"/>
  <c r="I178" i="16"/>
  <c r="F178" i="16" s="1"/>
  <c r="H178" i="16"/>
  <c r="E178" i="16" s="1"/>
  <c r="H105" i="16"/>
  <c r="E105" i="16" s="1"/>
  <c r="I105" i="16"/>
  <c r="F105" i="16" s="1"/>
  <c r="H53" i="16"/>
  <c r="E53" i="16" s="1"/>
  <c r="I53" i="16"/>
  <c r="F53" i="16" s="1"/>
  <c r="I122" i="16"/>
  <c r="F122" i="16" s="1"/>
  <c r="H122" i="16"/>
  <c r="E122" i="16" s="1"/>
  <c r="I203" i="16"/>
  <c r="F203" i="16" s="1"/>
  <c r="H203" i="16"/>
  <c r="E203" i="16" s="1"/>
  <c r="O4" i="7"/>
  <c r="D104" i="4"/>
  <c r="D135" i="4" s="1"/>
  <c r="G85" i="4"/>
  <c r="F100" i="4"/>
  <c r="F136" i="4" s="1"/>
  <c r="I8" i="16"/>
  <c r="F8" i="16" s="1"/>
  <c r="H8" i="16"/>
  <c r="E8" i="16" s="1"/>
  <c r="I92" i="16"/>
  <c r="F92" i="16" s="1"/>
  <c r="H92" i="16"/>
  <c r="E92" i="16" s="1"/>
  <c r="I104" i="16"/>
  <c r="F104" i="16" s="1"/>
  <c r="H104" i="16"/>
  <c r="E104" i="16" s="1"/>
  <c r="H177" i="16"/>
  <c r="E177" i="16" s="1"/>
  <c r="I177" i="16"/>
  <c r="F177" i="16" s="1"/>
  <c r="I65" i="16"/>
  <c r="F65" i="16" s="1"/>
  <c r="H65" i="16"/>
  <c r="E65" i="16" s="1"/>
  <c r="I93" i="16"/>
  <c r="F93" i="16" s="1"/>
  <c r="H93" i="16"/>
  <c r="E93" i="16" s="1"/>
  <c r="Y123" i="20"/>
  <c r="T115" i="16"/>
  <c r="Y92" i="20"/>
  <c r="T84" i="16"/>
  <c r="I190" i="16"/>
  <c r="F190" i="16" s="1"/>
  <c r="H190" i="16"/>
  <c r="E190" i="16" s="1"/>
  <c r="I152" i="16"/>
  <c r="F152" i="16" s="1"/>
  <c r="H152" i="16"/>
  <c r="E152" i="16" s="1"/>
  <c r="Q6" i="7"/>
  <c r="P6" i="7"/>
  <c r="I59" i="16"/>
  <c r="F59" i="16" s="1"/>
  <c r="H59" i="16"/>
  <c r="E59" i="16" s="1"/>
  <c r="I101" i="16"/>
  <c r="F101" i="16" s="1"/>
  <c r="H101" i="16"/>
  <c r="E101" i="16" s="1"/>
  <c r="I227" i="16"/>
  <c r="F227" i="16" s="1"/>
  <c r="H227" i="16"/>
  <c r="E227" i="16" s="1"/>
  <c r="H4" i="16"/>
  <c r="E4" i="16" s="1"/>
  <c r="I4" i="16"/>
  <c r="F4" i="16" s="1"/>
  <c r="B72" i="13"/>
  <c r="B68" i="13"/>
  <c r="B64" i="13"/>
  <c r="B60" i="13"/>
  <c r="B56" i="13"/>
  <c r="B52" i="13"/>
  <c r="B48" i="13"/>
  <c r="B44" i="13"/>
  <c r="C71" i="13"/>
  <c r="C67" i="13"/>
  <c r="C63" i="13"/>
  <c r="C59" i="13"/>
  <c r="C55" i="13"/>
  <c r="C51" i="13"/>
  <c r="C47" i="13"/>
  <c r="C43" i="13"/>
  <c r="B40" i="13"/>
  <c r="B71" i="13"/>
  <c r="B67" i="13"/>
  <c r="B63" i="13"/>
  <c r="B59" i="13"/>
  <c r="B55" i="13"/>
  <c r="B51" i="13"/>
  <c r="B47" i="13"/>
  <c r="B43" i="13"/>
  <c r="C74" i="13"/>
  <c r="C70" i="13"/>
  <c r="C66" i="13"/>
  <c r="C62" i="13"/>
  <c r="C58" i="13"/>
  <c r="C54" i="13"/>
  <c r="C50" i="13"/>
  <c r="C46" i="13"/>
  <c r="C42" i="13"/>
  <c r="B74" i="13"/>
  <c r="B70" i="13"/>
  <c r="B66" i="13"/>
  <c r="B62" i="13"/>
  <c r="B58" i="13"/>
  <c r="B54" i="13"/>
  <c r="B50" i="13"/>
  <c r="B46" i="13"/>
  <c r="B42" i="13"/>
  <c r="C73" i="13"/>
  <c r="C69" i="13"/>
  <c r="C65" i="13"/>
  <c r="C61" i="13"/>
  <c r="C57" i="13"/>
  <c r="C53" i="13"/>
  <c r="C49" i="13"/>
  <c r="C45" i="13"/>
  <c r="C41" i="13"/>
  <c r="C60" i="13"/>
  <c r="C44" i="13"/>
  <c r="B73" i="13"/>
  <c r="B57" i="13"/>
  <c r="B41" i="13"/>
  <c r="C72" i="13"/>
  <c r="C56" i="13"/>
  <c r="C40" i="13"/>
  <c r="B69" i="13"/>
  <c r="B53" i="13"/>
  <c r="C68" i="13"/>
  <c r="C52" i="13"/>
  <c r="C64" i="13"/>
  <c r="C48" i="13"/>
  <c r="B49" i="13"/>
  <c r="B45" i="13"/>
  <c r="B61" i="13"/>
  <c r="B65" i="13"/>
  <c r="I110" i="16"/>
  <c r="F110" i="16" s="1"/>
  <c r="H110" i="16"/>
  <c r="E110" i="16" s="1"/>
  <c r="I34" i="16"/>
  <c r="F34" i="16" s="1"/>
  <c r="H34" i="16"/>
  <c r="E34" i="16" s="1"/>
  <c r="AG148" i="3"/>
  <c r="AI36" i="4" s="1"/>
  <c r="AG106" i="3"/>
  <c r="AI21" i="4" s="1"/>
  <c r="I186" i="16"/>
  <c r="F186" i="16" s="1"/>
  <c r="H186" i="16"/>
  <c r="E186" i="16" s="1"/>
  <c r="I185" i="16"/>
  <c r="F185" i="16" s="1"/>
  <c r="H185" i="16"/>
  <c r="E185" i="16" s="1"/>
  <c r="I118" i="16"/>
  <c r="F118" i="16" s="1"/>
  <c r="H118" i="16"/>
  <c r="E118" i="16" s="1"/>
  <c r="E84" i="3"/>
  <c r="E76" i="3"/>
  <c r="E92" i="3" s="1"/>
  <c r="E78" i="3"/>
  <c r="E94" i="3" s="1"/>
  <c r="E71" i="3"/>
  <c r="E87" i="3" s="1"/>
  <c r="F10" i="4" s="1"/>
  <c r="E80" i="3"/>
  <c r="E96" i="3" s="1"/>
  <c r="E82" i="3"/>
  <c r="E98" i="3" s="1"/>
  <c r="F18" i="4" s="1"/>
  <c r="E79" i="3"/>
  <c r="E95" i="3" s="1"/>
  <c r="E74" i="3"/>
  <c r="E90" i="3" s="1"/>
  <c r="E83" i="3"/>
  <c r="E99" i="3" s="1"/>
  <c r="E72" i="3"/>
  <c r="E88" i="3" s="1"/>
  <c r="E73" i="3"/>
  <c r="E89" i="3" s="1"/>
  <c r="F12" i="4" s="1"/>
  <c r="E75" i="3"/>
  <c r="E91" i="3" s="1"/>
  <c r="E81" i="3"/>
  <c r="E97" i="3" s="1"/>
  <c r="E77" i="3"/>
  <c r="E93" i="3" s="1"/>
  <c r="F14" i="4" s="1"/>
  <c r="I67" i="16"/>
  <c r="F67" i="16" s="1"/>
  <c r="H67" i="16"/>
  <c r="E67" i="16" s="1"/>
  <c r="Y238" i="20"/>
  <c r="I229" i="16"/>
  <c r="F229" i="16" s="1"/>
  <c r="H229" i="16"/>
  <c r="E229" i="16" s="1"/>
  <c r="I98" i="16"/>
  <c r="F98" i="16" s="1"/>
  <c r="H98" i="16"/>
  <c r="E98" i="16" s="1"/>
  <c r="I164" i="16"/>
  <c r="F164" i="16" s="1"/>
  <c r="H164" i="16"/>
  <c r="E164" i="16" s="1"/>
  <c r="I106" i="16"/>
  <c r="F106" i="16" s="1"/>
  <c r="H106" i="16"/>
  <c r="E106" i="16" s="1"/>
  <c r="I189" i="16"/>
  <c r="F189" i="16" s="1"/>
  <c r="H189" i="16"/>
  <c r="E189" i="16" s="1"/>
  <c r="I36" i="16"/>
  <c r="F36" i="16" s="1"/>
  <c r="H36" i="16"/>
  <c r="E36" i="16" s="1"/>
  <c r="AG107" i="3"/>
  <c r="AI22" i="4" s="1"/>
  <c r="AG105" i="3"/>
  <c r="AI20" i="4" s="1"/>
  <c r="D110" i="4"/>
  <c r="D115" i="4" s="1"/>
  <c r="D132" i="4"/>
  <c r="D120" i="4"/>
  <c r="Y204" i="20"/>
  <c r="Y128" i="20"/>
  <c r="Y60" i="20"/>
  <c r="Y98" i="20"/>
  <c r="E53" i="4"/>
  <c r="Y250" i="20"/>
  <c r="Y186" i="20"/>
  <c r="I6" i="16"/>
  <c r="F6" i="16" s="1"/>
  <c r="H6" i="16"/>
  <c r="E6" i="16" s="1"/>
  <c r="Y211" i="20"/>
  <c r="AG111" i="3"/>
  <c r="AI24" i="4" s="1"/>
  <c r="AG34" i="4"/>
  <c r="Y101" i="20"/>
  <c r="Y119" i="20"/>
  <c r="T111" i="16"/>
  <c r="E30" i="18"/>
  <c r="D32" i="18"/>
  <c r="H37" i="16"/>
  <c r="E37" i="16" s="1"/>
  <c r="I37" i="16"/>
  <c r="F37" i="16" s="1"/>
  <c r="I134" i="16"/>
  <c r="F134" i="16" s="1"/>
  <c r="H134" i="16"/>
  <c r="E134" i="16" s="1"/>
  <c r="E57" i="4"/>
  <c r="Y12" i="20"/>
  <c r="I151" i="16"/>
  <c r="F151" i="16" s="1"/>
  <c r="H151" i="16"/>
  <c r="E151" i="16" s="1"/>
  <c r="AG144" i="3"/>
  <c r="AI33" i="4" s="1"/>
  <c r="E136" i="3"/>
  <c r="F6" i="4"/>
  <c r="G18" i="2"/>
  <c r="I248" i="16"/>
  <c r="F248" i="16" s="1"/>
  <c r="H248" i="16"/>
  <c r="E248" i="16" s="1"/>
  <c r="I236" i="16"/>
  <c r="F236" i="16" s="1"/>
  <c r="H236" i="16"/>
  <c r="E236" i="16" s="1"/>
  <c r="I24" i="16"/>
  <c r="F24" i="16" s="1"/>
  <c r="H24" i="16"/>
  <c r="E24" i="16" s="1"/>
  <c r="N7" i="14"/>
  <c r="H11" i="19" s="1" a="1"/>
  <c r="I252" i="16"/>
  <c r="F252" i="16" s="1"/>
  <c r="H252" i="16"/>
  <c r="E252" i="16" s="1"/>
  <c r="I188" i="16"/>
  <c r="F188" i="16" s="1"/>
  <c r="H188" i="16"/>
  <c r="E188" i="16" s="1"/>
  <c r="I76" i="16"/>
  <c r="F76" i="16" s="1"/>
  <c r="H76" i="16"/>
  <c r="E76" i="16" s="1"/>
  <c r="I88" i="16"/>
  <c r="F88" i="16" s="1"/>
  <c r="H88" i="16"/>
  <c r="E88" i="16" s="1"/>
  <c r="I44" i="16"/>
  <c r="F44" i="16" s="1"/>
  <c r="H44" i="16"/>
  <c r="E44" i="16" s="1"/>
  <c r="I145" i="16"/>
  <c r="F145" i="16" s="1"/>
  <c r="H145" i="16"/>
  <c r="E145" i="16" s="1"/>
  <c r="Y126" i="20"/>
  <c r="I184" i="16"/>
  <c r="F184" i="16" s="1"/>
  <c r="H184" i="16"/>
  <c r="E184" i="16" s="1"/>
  <c r="I124" i="16"/>
  <c r="F124" i="16" s="1"/>
  <c r="H124" i="16"/>
  <c r="E124" i="16" s="1"/>
  <c r="I72" i="16"/>
  <c r="F72" i="16" s="1"/>
  <c r="H72" i="16"/>
  <c r="E72" i="16" s="1"/>
  <c r="H27" i="16"/>
  <c r="E27" i="16" s="1"/>
  <c r="I27" i="16"/>
  <c r="F27" i="16" s="1"/>
  <c r="E49" i="4"/>
  <c r="Y222" i="20"/>
  <c r="T214" i="16"/>
  <c r="Y106" i="20"/>
  <c r="I33" i="16"/>
  <c r="F33" i="16" s="1"/>
  <c r="H33" i="16"/>
  <c r="E33" i="16" s="1"/>
  <c r="AG109" i="3"/>
  <c r="I244" i="16"/>
  <c r="F244" i="16" s="1"/>
  <c r="H244" i="16"/>
  <c r="E244" i="16" s="1"/>
  <c r="I180" i="16"/>
  <c r="F180" i="16" s="1"/>
  <c r="H180" i="16"/>
  <c r="E180" i="16" s="1"/>
  <c r="I150" i="16"/>
  <c r="F150" i="16" s="1"/>
  <c r="H150" i="16"/>
  <c r="E150" i="16" s="1"/>
  <c r="I56" i="16"/>
  <c r="F56" i="16" s="1"/>
  <c r="H56" i="16"/>
  <c r="E56" i="16" s="1"/>
  <c r="H9" i="16"/>
  <c r="E9" i="16" s="1"/>
  <c r="I9" i="16"/>
  <c r="F9" i="16" s="1"/>
  <c r="I162" i="16"/>
  <c r="F162" i="16" s="1"/>
  <c r="H162" i="16"/>
  <c r="E162" i="16" s="1"/>
  <c r="AG106" i="4"/>
  <c r="G107" i="4"/>
  <c r="G127" i="4" s="1"/>
  <c r="H62" i="4"/>
  <c r="I226" i="16"/>
  <c r="F226" i="16" s="1"/>
  <c r="H226" i="16"/>
  <c r="E226" i="16" s="1"/>
  <c r="I146" i="16"/>
  <c r="F146" i="16" s="1"/>
  <c r="H146" i="16"/>
  <c r="E146" i="16" s="1"/>
  <c r="I142" i="16"/>
  <c r="F142" i="16" s="1"/>
  <c r="H142" i="16"/>
  <c r="E142" i="16" s="1"/>
  <c r="I14" i="16"/>
  <c r="F14" i="16" s="1"/>
  <c r="H14" i="16"/>
  <c r="E14" i="16" s="1"/>
  <c r="I191" i="16"/>
  <c r="F191" i="16" s="1"/>
  <c r="H191" i="16"/>
  <c r="E191" i="16" s="1"/>
  <c r="I12" i="16"/>
  <c r="F12" i="16" s="1"/>
  <c r="H12" i="16"/>
  <c r="E12" i="16" s="1"/>
  <c r="E51" i="4"/>
  <c r="T16" i="28"/>
  <c r="L16" i="28"/>
  <c r="N15" i="28"/>
  <c r="P14" i="28"/>
  <c r="R13" i="28"/>
  <c r="T12" i="28"/>
  <c r="L12" i="28"/>
  <c r="N11" i="28"/>
  <c r="P10" i="28"/>
  <c r="R9" i="28"/>
  <c r="T8" i="28"/>
  <c r="L8" i="28"/>
  <c r="N7" i="28"/>
  <c r="P6" i="28"/>
  <c r="R5" i="28"/>
  <c r="K5" i="28"/>
  <c r="Q16" i="28"/>
  <c r="R15" i="28"/>
  <c r="S14" i="28"/>
  <c r="T13" i="28"/>
  <c r="K13" i="28"/>
  <c r="K12" i="28"/>
  <c r="L11" i="28"/>
  <c r="M10" i="28"/>
  <c r="N9" i="28"/>
  <c r="O8" i="28"/>
  <c r="P7" i="28"/>
  <c r="Q6" i="28"/>
  <c r="Q5" i="28"/>
  <c r="O16" i="28"/>
  <c r="P15" i="28"/>
  <c r="Q14" i="28"/>
  <c r="Q13" i="28"/>
  <c r="R12" i="28"/>
  <c r="S11" i="28"/>
  <c r="T10" i="28"/>
  <c r="K10" i="28"/>
  <c r="L9" i="28"/>
  <c r="M8" i="28"/>
  <c r="M7" i="28"/>
  <c r="N6" i="28"/>
  <c r="O5" i="28"/>
  <c r="N16" i="28"/>
  <c r="O15" i="28"/>
  <c r="O14" i="28"/>
  <c r="P13" i="28"/>
  <c r="Q12" i="28"/>
  <c r="R11" i="28"/>
  <c r="S10" i="28"/>
  <c r="T9" i="28"/>
  <c r="K9" i="28"/>
  <c r="K8" i="28"/>
  <c r="L7" i="28"/>
  <c r="M6" i="28"/>
  <c r="N5" i="28"/>
  <c r="M16" i="28"/>
  <c r="M15" i="28"/>
  <c r="N14" i="28"/>
  <c r="O13" i="28"/>
  <c r="P12" i="28"/>
  <c r="Q11" i="28"/>
  <c r="R10" i="28"/>
  <c r="S9" i="28"/>
  <c r="S8" i="28"/>
  <c r="T7" i="28"/>
  <c r="K7" i="28"/>
  <c r="L6" i="28"/>
  <c r="M5" i="28"/>
  <c r="K16" i="28"/>
  <c r="L15" i="28"/>
  <c r="M14" i="28"/>
  <c r="N13" i="28"/>
  <c r="O12" i="28"/>
  <c r="P11" i="28"/>
  <c r="Q10" i="28"/>
  <c r="Q9" i="28"/>
  <c r="R8" i="28"/>
  <c r="S7" i="28"/>
  <c r="T6" i="28"/>
  <c r="K6" i="28"/>
  <c r="L5" i="28"/>
  <c r="S16" i="28"/>
  <c r="T15" i="28"/>
  <c r="K15" i="28"/>
  <c r="L14" i="28"/>
  <c r="M13" i="28"/>
  <c r="N12" i="28"/>
  <c r="O11" i="28"/>
  <c r="O10" i="28"/>
  <c r="P9" i="28"/>
  <c r="Q8" i="28"/>
  <c r="R7" i="28"/>
  <c r="S6" i="28"/>
  <c r="T5" i="28"/>
  <c r="R14" i="28"/>
  <c r="K11" i="28"/>
  <c r="O7" i="28"/>
  <c r="K14" i="28"/>
  <c r="N10" i="28"/>
  <c r="R6" i="28"/>
  <c r="S13" i="28"/>
  <c r="L10" i="28"/>
  <c r="O6" i="28"/>
  <c r="R16" i="28"/>
  <c r="L13" i="28"/>
  <c r="O9" i="28"/>
  <c r="S5" i="28"/>
  <c r="P16" i="28"/>
  <c r="S12" i="28"/>
  <c r="M9" i="28"/>
  <c r="P5" i="28"/>
  <c r="T14" i="28"/>
  <c r="M11" i="28"/>
  <c r="Q7" i="28"/>
  <c r="Q15" i="28"/>
  <c r="M12" i="28"/>
  <c r="T11" i="28"/>
  <c r="N8" i="28"/>
  <c r="P8" i="28"/>
  <c r="S15" i="28"/>
  <c r="I240" i="16"/>
  <c r="F240" i="16" s="1"/>
  <c r="H240" i="16"/>
  <c r="E240" i="16" s="1"/>
  <c r="H143" i="16"/>
  <c r="E143" i="16" s="1"/>
  <c r="I143" i="16"/>
  <c r="F143" i="16" s="1"/>
  <c r="I40" i="16"/>
  <c r="F40" i="16" s="1"/>
  <c r="H40" i="16"/>
  <c r="E40" i="16" s="1"/>
  <c r="I62" i="16"/>
  <c r="F62" i="16" s="1"/>
  <c r="H62" i="16"/>
  <c r="E62" i="16" s="1"/>
  <c r="I119" i="16"/>
  <c r="F119" i="16" s="1"/>
  <c r="H119" i="16"/>
  <c r="E119" i="16" s="1"/>
  <c r="Y124" i="20"/>
  <c r="T116" i="16"/>
  <c r="Y93" i="20"/>
  <c r="T85" i="16"/>
  <c r="I64" i="16"/>
  <c r="F64" i="16" s="1"/>
  <c r="H64" i="16"/>
  <c r="E64" i="16" s="1"/>
  <c r="Y159" i="20"/>
  <c r="H28" i="16" l="1"/>
  <c r="E28" i="16" s="1"/>
  <c r="H29" i="16"/>
  <c r="E29" i="16" s="1"/>
  <c r="H30" i="16"/>
  <c r="E30" i="16" s="1"/>
  <c r="H91" i="16"/>
  <c r="E91" i="16" s="1"/>
  <c r="H32" i="16"/>
  <c r="E32" i="16" s="1"/>
  <c r="H140" i="16"/>
  <c r="E140" i="16" s="1"/>
  <c r="H137" i="16"/>
  <c r="E137" i="16" s="1"/>
  <c r="H195" i="16"/>
  <c r="E195" i="16" s="1"/>
  <c r="I129" i="16"/>
  <c r="F129" i="16" s="1"/>
  <c r="I3" i="16"/>
  <c r="F3" i="16" s="1"/>
  <c r="H39" i="16"/>
  <c r="E39" i="16" s="1"/>
  <c r="H241" i="16"/>
  <c r="E241" i="16" s="1"/>
  <c r="AG43" i="4"/>
  <c r="H5" i="16"/>
  <c r="E5" i="16" s="1"/>
  <c r="I74" i="16"/>
  <c r="F74" i="16" s="1"/>
  <c r="I125" i="16"/>
  <c r="F125" i="16" s="1"/>
  <c r="I173" i="16"/>
  <c r="F173" i="16" s="1"/>
  <c r="I155" i="16"/>
  <c r="F155" i="16" s="1"/>
  <c r="H200" i="16"/>
  <c r="E200" i="16" s="1"/>
  <c r="H153" i="16"/>
  <c r="E153" i="16" s="1"/>
  <c r="E39" i="4"/>
  <c r="H176" i="16"/>
  <c r="E176" i="16" s="1"/>
  <c r="H254" i="16"/>
  <c r="E254" i="16" s="1"/>
  <c r="I123" i="16"/>
  <c r="F123" i="16" s="1"/>
  <c r="I47" i="16"/>
  <c r="F47" i="16" s="1"/>
  <c r="H154" i="16"/>
  <c r="E154" i="16" s="1"/>
  <c r="I71" i="16"/>
  <c r="F71" i="16" s="1"/>
  <c r="H7" i="16"/>
  <c r="E7" i="16" s="1"/>
  <c r="I51" i="16"/>
  <c r="F51" i="16" s="1"/>
  <c r="S3" i="16"/>
  <c r="H253" i="16"/>
  <c r="E253" i="16" s="1"/>
  <c r="H139" i="16"/>
  <c r="E139" i="16" s="1"/>
  <c r="I199" i="16"/>
  <c r="F199" i="16" s="1"/>
  <c r="H197" i="16"/>
  <c r="E197" i="16" s="1"/>
  <c r="H212" i="16"/>
  <c r="E212" i="16" s="1"/>
  <c r="F15" i="4"/>
  <c r="F54" i="4" s="1"/>
  <c r="I224" i="16"/>
  <c r="F224" i="16" s="1"/>
  <c r="P5" i="7"/>
  <c r="E21" i="17" s="1"/>
  <c r="B57" i="28"/>
  <c r="H167" i="16"/>
  <c r="E167" i="16" s="1"/>
  <c r="H132" i="16"/>
  <c r="E132" i="16" s="1"/>
  <c r="H165" i="16"/>
  <c r="E165" i="16" s="1"/>
  <c r="H249" i="16"/>
  <c r="E249" i="16" s="1"/>
  <c r="H219" i="16"/>
  <c r="E219" i="16" s="1"/>
  <c r="I156" i="16"/>
  <c r="F156" i="16" s="1"/>
  <c r="H130" i="16"/>
  <c r="E130" i="16" s="1"/>
  <c r="H46" i="16"/>
  <c r="E46" i="16" s="1"/>
  <c r="H70" i="16"/>
  <c r="E70" i="16" s="1"/>
  <c r="B58" i="28"/>
  <c r="F20" i="2"/>
  <c r="H172" i="16"/>
  <c r="E172" i="16" s="1"/>
  <c r="I168" i="16"/>
  <c r="F168" i="16" s="1"/>
  <c r="D103" i="4"/>
  <c r="D134" i="4" s="1"/>
  <c r="O3" i="7"/>
  <c r="P3" i="7" s="1"/>
  <c r="E19" i="3"/>
  <c r="E49" i="3" s="1"/>
  <c r="H49" i="16"/>
  <c r="E49" i="16" s="1"/>
  <c r="E37" i="4"/>
  <c r="H239" i="16"/>
  <c r="E239" i="16" s="1"/>
  <c r="F11" i="4"/>
  <c r="F50" i="4" s="1"/>
  <c r="F13" i="4"/>
  <c r="F52" i="4" s="1"/>
  <c r="C50" i="25"/>
  <c r="Q45" i="30" s="1"/>
  <c r="E38" i="4"/>
  <c r="E42" i="4"/>
  <c r="E41" i="4"/>
  <c r="C51" i="25"/>
  <c r="Q46" i="30" s="1"/>
  <c r="S39" i="28"/>
  <c r="C72" i="28" s="1"/>
  <c r="D72" i="28" s="1"/>
  <c r="F72" i="28" s="1"/>
  <c r="E106" i="4"/>
  <c r="E126" i="4" s="1"/>
  <c r="E40" i="4"/>
  <c r="J11" i="19"/>
  <c r="I11" i="19"/>
  <c r="K12" i="19"/>
  <c r="H11" i="19"/>
  <c r="J12" i="19"/>
  <c r="J13" i="19" s="1"/>
  <c r="I12" i="19"/>
  <c r="H12" i="19"/>
  <c r="K11" i="19"/>
  <c r="F53" i="4"/>
  <c r="F59" i="4"/>
  <c r="E25" i="4"/>
  <c r="AH25" i="4" s="1"/>
  <c r="D133" i="3"/>
  <c r="D166" i="3"/>
  <c r="E34" i="4"/>
  <c r="E87" i="4" s="1"/>
  <c r="I215" i="16"/>
  <c r="F215" i="16" s="1"/>
  <c r="H215" i="16"/>
  <c r="E215" i="16" s="1"/>
  <c r="I217" i="16"/>
  <c r="F217" i="16" s="1"/>
  <c r="H217" i="16"/>
  <c r="E217" i="16" s="1"/>
  <c r="D11" i="13"/>
  <c r="B4" i="12"/>
  <c r="C4" i="12" s="1"/>
  <c r="G59" i="14"/>
  <c r="E18" i="23"/>
  <c r="F18" i="23" s="1"/>
  <c r="E18" i="19"/>
  <c r="F18" i="19" s="1"/>
  <c r="AG40" i="3"/>
  <c r="AI39" i="4" s="1"/>
  <c r="E89" i="4"/>
  <c r="AG117" i="3"/>
  <c r="AI25" i="4" s="1"/>
  <c r="AG48" i="3"/>
  <c r="AI44" i="4" s="1"/>
  <c r="H111" i="16"/>
  <c r="E111" i="16" s="1"/>
  <c r="I111" i="16"/>
  <c r="F111" i="16" s="1"/>
  <c r="I113" i="16"/>
  <c r="F113" i="16" s="1"/>
  <c r="H113" i="16"/>
  <c r="E113" i="16" s="1"/>
  <c r="E83" i="4"/>
  <c r="G24" i="14"/>
  <c r="E13" i="23"/>
  <c r="F13" i="23" s="1"/>
  <c r="E13" i="19"/>
  <c r="F13" i="19" s="1"/>
  <c r="I85" i="16"/>
  <c r="F85" i="16" s="1"/>
  <c r="H85" i="16"/>
  <c r="E85" i="16" s="1"/>
  <c r="E137" i="4"/>
  <c r="S36" i="28"/>
  <c r="D4" i="13"/>
  <c r="G10" i="14"/>
  <c r="E11" i="19"/>
  <c r="F11" i="19" s="1"/>
  <c r="E11" i="23"/>
  <c r="F11" i="23" s="1"/>
  <c r="G5" i="4"/>
  <c r="F103" i="3"/>
  <c r="H17" i="2"/>
  <c r="AG44" i="3"/>
  <c r="AI41" i="4" s="1"/>
  <c r="D47" i="3"/>
  <c r="D63" i="3" s="1"/>
  <c r="D51" i="3"/>
  <c r="D67" i="3" s="1"/>
  <c r="D45" i="3"/>
  <c r="D61" i="3" s="1"/>
  <c r="D49" i="3"/>
  <c r="D65" i="3" s="1"/>
  <c r="D40" i="3"/>
  <c r="D56" i="3" s="1"/>
  <c r="D48" i="3"/>
  <c r="D64" i="3" s="1"/>
  <c r="D46" i="3"/>
  <c r="D62" i="3" s="1"/>
  <c r="D44" i="3"/>
  <c r="D60" i="3" s="1"/>
  <c r="D43" i="3"/>
  <c r="D59" i="3" s="1"/>
  <c r="D41" i="3"/>
  <c r="D57" i="3" s="1"/>
  <c r="D50" i="3"/>
  <c r="D66" i="3" s="1"/>
  <c r="D39" i="3"/>
  <c r="D55" i="3" s="1"/>
  <c r="D38" i="3"/>
  <c r="D54" i="3" s="1"/>
  <c r="D42" i="3"/>
  <c r="D58" i="3" s="1"/>
  <c r="E69" i="4"/>
  <c r="E117" i="3"/>
  <c r="E114" i="3"/>
  <c r="E130" i="3" s="1"/>
  <c r="F26" i="4" s="1"/>
  <c r="E110" i="3"/>
  <c r="E126" i="3" s="1"/>
  <c r="F23" i="4" s="1"/>
  <c r="E111" i="3"/>
  <c r="E127" i="3" s="1"/>
  <c r="F24" i="4" s="1"/>
  <c r="E109" i="3"/>
  <c r="E125" i="3" s="1"/>
  <c r="E112" i="3"/>
  <c r="E128" i="3" s="1"/>
  <c r="E113" i="3"/>
  <c r="E129" i="3" s="1"/>
  <c r="E106" i="3"/>
  <c r="E122" i="3" s="1"/>
  <c r="F21" i="4" s="1"/>
  <c r="E116" i="3"/>
  <c r="E132" i="3" s="1"/>
  <c r="E107" i="3"/>
  <c r="E123" i="3" s="1"/>
  <c r="F22" i="4" s="1"/>
  <c r="E105" i="3"/>
  <c r="E121" i="3" s="1"/>
  <c r="F20" i="4" s="1"/>
  <c r="E108" i="3"/>
  <c r="E124" i="3" s="1"/>
  <c r="E104" i="3"/>
  <c r="E120" i="3" s="1"/>
  <c r="F19" i="4" s="1"/>
  <c r="E115" i="3"/>
  <c r="E131" i="3" s="1"/>
  <c r="F27" i="4" s="1"/>
  <c r="F51" i="4"/>
  <c r="E143" i="3"/>
  <c r="E159" i="3" s="1"/>
  <c r="F32" i="4" s="1"/>
  <c r="E137" i="3"/>
  <c r="E153" i="3" s="1"/>
  <c r="F28" i="4" s="1"/>
  <c r="E148" i="3"/>
  <c r="E164" i="3" s="1"/>
  <c r="F36" i="4" s="1"/>
  <c r="E147" i="3"/>
  <c r="E163" i="3" s="1"/>
  <c r="F35" i="4" s="1"/>
  <c r="E145" i="3"/>
  <c r="E161" i="3" s="1"/>
  <c r="E146" i="3"/>
  <c r="E162" i="3" s="1"/>
  <c r="E142" i="3"/>
  <c r="E158" i="3" s="1"/>
  <c r="E138" i="3"/>
  <c r="E154" i="3" s="1"/>
  <c r="F29" i="4" s="1"/>
  <c r="E141" i="3"/>
  <c r="E157" i="3" s="1"/>
  <c r="E139" i="3"/>
  <c r="E155" i="3" s="1"/>
  <c r="F30" i="4" s="1"/>
  <c r="E150" i="3"/>
  <c r="E144" i="3"/>
  <c r="E160" i="3" s="1"/>
  <c r="F33" i="4" s="1"/>
  <c r="E140" i="3"/>
  <c r="E156" i="3" s="1"/>
  <c r="F31" i="4" s="1"/>
  <c r="E149" i="3"/>
  <c r="E165" i="3" s="1"/>
  <c r="E73" i="4"/>
  <c r="E84" i="4"/>
  <c r="G70" i="3"/>
  <c r="H4" i="4"/>
  <c r="I16" i="2"/>
  <c r="S35" i="28"/>
  <c r="C71" i="28" s="1"/>
  <c r="D71" i="28" s="1"/>
  <c r="F71" i="28" s="1"/>
  <c r="S41" i="28"/>
  <c r="S45" i="28"/>
  <c r="F17" i="4"/>
  <c r="E44" i="4"/>
  <c r="E58" i="4"/>
  <c r="Q7" i="7"/>
  <c r="P7" i="7"/>
  <c r="D15" i="25" s="1"/>
  <c r="I15" i="25" s="1"/>
  <c r="B3" i="12"/>
  <c r="C3" i="12" s="1"/>
  <c r="D7" i="13"/>
  <c r="G31" i="14"/>
  <c r="E14" i="19"/>
  <c r="F14" i="19" s="1"/>
  <c r="E14" i="23"/>
  <c r="F14" i="23" s="1"/>
  <c r="AG45" i="3"/>
  <c r="AI42" i="4" s="1"/>
  <c r="AG50" i="3"/>
  <c r="F106" i="4"/>
  <c r="F49" i="4"/>
  <c r="K21" i="17"/>
  <c r="K26" i="27"/>
  <c r="B38" i="18"/>
  <c r="B39" i="18" s="1"/>
  <c r="C36" i="18"/>
  <c r="E74" i="4"/>
  <c r="C45" i="28"/>
  <c r="D44" i="28"/>
  <c r="E43" i="28"/>
  <c r="F41" i="28"/>
  <c r="G40" i="28"/>
  <c r="H39" i="28"/>
  <c r="I37" i="28"/>
  <c r="J36" i="28"/>
  <c r="C35" i="28"/>
  <c r="G45" i="28"/>
  <c r="F45" i="28"/>
  <c r="G44" i="28"/>
  <c r="H43" i="28"/>
  <c r="I41" i="28"/>
  <c r="J40" i="28"/>
  <c r="C39" i="28"/>
  <c r="D37" i="28"/>
  <c r="E36" i="28"/>
  <c r="F35" i="28"/>
  <c r="E45" i="28"/>
  <c r="F44" i="28"/>
  <c r="G43" i="28"/>
  <c r="H41" i="28"/>
  <c r="I40" i="28"/>
  <c r="J39" i="28"/>
  <c r="C37" i="28"/>
  <c r="D36" i="28"/>
  <c r="H44" i="28"/>
  <c r="C43" i="28"/>
  <c r="G41" i="28"/>
  <c r="D40" i="28"/>
  <c r="E37" i="28"/>
  <c r="I35" i="28"/>
  <c r="J45" i="28"/>
  <c r="E44" i="28"/>
  <c r="E41" i="28"/>
  <c r="C40" i="28"/>
  <c r="H35" i="28"/>
  <c r="I45" i="28"/>
  <c r="C44" i="28"/>
  <c r="D41" i="28"/>
  <c r="I39" i="28"/>
  <c r="I36" i="28"/>
  <c r="G35" i="28"/>
  <c r="H45" i="28"/>
  <c r="C41" i="28"/>
  <c r="G39" i="28"/>
  <c r="H36" i="28"/>
  <c r="E35" i="28"/>
  <c r="D45" i="28"/>
  <c r="J43" i="28"/>
  <c r="F39" i="28"/>
  <c r="J37" i="28"/>
  <c r="G36" i="28"/>
  <c r="D35" i="28"/>
  <c r="I43" i="28"/>
  <c r="H40" i="28"/>
  <c r="E39" i="28"/>
  <c r="H37" i="28"/>
  <c r="F36" i="28"/>
  <c r="J44" i="28"/>
  <c r="F43" i="28"/>
  <c r="F40" i="28"/>
  <c r="D39" i="28"/>
  <c r="G37" i="28"/>
  <c r="C36" i="28"/>
  <c r="J35" i="28"/>
  <c r="I44" i="28"/>
  <c r="D43" i="28"/>
  <c r="J41" i="28"/>
  <c r="F37" i="28"/>
  <c r="E40" i="28"/>
  <c r="I214" i="16"/>
  <c r="F214" i="16" s="1"/>
  <c r="H214" i="16"/>
  <c r="E214" i="16" s="1"/>
  <c r="D33" i="18"/>
  <c r="H115" i="16"/>
  <c r="E115" i="16" s="1"/>
  <c r="I115" i="16"/>
  <c r="F115" i="16" s="1"/>
  <c r="I82" i="16"/>
  <c r="F82" i="16" s="1"/>
  <c r="H82" i="16"/>
  <c r="E82" i="16" s="1"/>
  <c r="E64" i="4"/>
  <c r="I216" i="16"/>
  <c r="F216" i="16" s="1"/>
  <c r="H216" i="16"/>
  <c r="E216" i="16" s="1"/>
  <c r="G19" i="2"/>
  <c r="E29" i="28"/>
  <c r="H29" i="28"/>
  <c r="G29" i="28"/>
  <c r="F29" i="28"/>
  <c r="I29" i="28"/>
  <c r="B29" i="28"/>
  <c r="D29" i="28"/>
  <c r="C29" i="28"/>
  <c r="B28" i="28"/>
  <c r="D28" i="28"/>
  <c r="C28" i="28"/>
  <c r="I27" i="28"/>
  <c r="I28" i="28"/>
  <c r="H27" i="28"/>
  <c r="G27" i="28"/>
  <c r="C27" i="28"/>
  <c r="H28" i="28"/>
  <c r="F27" i="28"/>
  <c r="G28" i="28"/>
  <c r="E27" i="28"/>
  <c r="E28" i="28"/>
  <c r="B27" i="28"/>
  <c r="F28" i="28"/>
  <c r="D27" i="28"/>
  <c r="H78" i="4"/>
  <c r="G108" i="4"/>
  <c r="G128" i="4" s="1"/>
  <c r="AI14" i="4"/>
  <c r="AI16" i="4"/>
  <c r="D8" i="13"/>
  <c r="E15" i="19"/>
  <c r="F15" i="19" s="1"/>
  <c r="E15" i="23"/>
  <c r="F15" i="23" s="1"/>
  <c r="G38" i="14"/>
  <c r="AG41" i="3"/>
  <c r="AI40" i="4" s="1"/>
  <c r="AG42" i="3"/>
  <c r="E45" i="4"/>
  <c r="C49" i="25"/>
  <c r="Q44" i="30" s="1"/>
  <c r="G6" i="4"/>
  <c r="F136" i="3"/>
  <c r="H18" i="2"/>
  <c r="Q4" i="7"/>
  <c r="P4" i="7"/>
  <c r="AG150" i="3"/>
  <c r="AI34" i="4" s="1"/>
  <c r="E65" i="4"/>
  <c r="D5" i="13"/>
  <c r="E12" i="19"/>
  <c r="F12" i="19" s="1"/>
  <c r="G17" i="14"/>
  <c r="E12" i="23"/>
  <c r="F12" i="23" s="1"/>
  <c r="L63" i="4"/>
  <c r="I114" i="16"/>
  <c r="F114" i="16" s="1"/>
  <c r="H114" i="16"/>
  <c r="E114" i="16" s="1"/>
  <c r="H11" i="23" a="1"/>
  <c r="F30" i="18"/>
  <c r="E32" i="18"/>
  <c r="E33" i="18" s="1"/>
  <c r="F16" i="4"/>
  <c r="E100" i="3"/>
  <c r="I84" i="16"/>
  <c r="F84" i="16" s="1"/>
  <c r="H84" i="16"/>
  <c r="E84" i="16" s="1"/>
  <c r="H85" i="4"/>
  <c r="G100" i="4"/>
  <c r="G136" i="4" s="1"/>
  <c r="E67" i="4"/>
  <c r="E88" i="4"/>
  <c r="E79" i="4"/>
  <c r="F77" i="3"/>
  <c r="F93" i="3" s="1"/>
  <c r="G14" i="4" s="1"/>
  <c r="F75" i="3"/>
  <c r="F91" i="3" s="1"/>
  <c r="F83" i="3"/>
  <c r="F99" i="3" s="1"/>
  <c r="F81" i="3"/>
  <c r="F97" i="3" s="1"/>
  <c r="F84" i="3"/>
  <c r="F80" i="3"/>
  <c r="F96" i="3" s="1"/>
  <c r="F76" i="3"/>
  <c r="F92" i="3" s="1"/>
  <c r="F74" i="3"/>
  <c r="F90" i="3" s="1"/>
  <c r="F72" i="3"/>
  <c r="F88" i="3" s="1"/>
  <c r="F79" i="3"/>
  <c r="F95" i="3" s="1"/>
  <c r="F73" i="3"/>
  <c r="F89" i="3" s="1"/>
  <c r="G12" i="4" s="1"/>
  <c r="F78" i="3"/>
  <c r="F94" i="3" s="1"/>
  <c r="F71" i="3"/>
  <c r="F87" i="3" s="1"/>
  <c r="G10" i="4" s="1"/>
  <c r="F82" i="3"/>
  <c r="F98" i="3" s="1"/>
  <c r="G18" i="4" s="1"/>
  <c r="I211" i="16"/>
  <c r="F211" i="16" s="1"/>
  <c r="H211" i="16"/>
  <c r="E211" i="16" s="1"/>
  <c r="S43" i="28"/>
  <c r="C73" i="28" s="1"/>
  <c r="D73" i="28" s="1"/>
  <c r="F73" i="28" s="1"/>
  <c r="S40" i="28"/>
  <c r="H55" i="5"/>
  <c r="I51" i="5"/>
  <c r="D9" i="13"/>
  <c r="G45" i="14"/>
  <c r="E16" i="19"/>
  <c r="F16" i="19" s="1"/>
  <c r="E16" i="23"/>
  <c r="F16" i="23" s="1"/>
  <c r="E21" i="19"/>
  <c r="F21" i="19" s="1"/>
  <c r="G80" i="14"/>
  <c r="E21" i="23"/>
  <c r="F21" i="23" s="1"/>
  <c r="AG49" i="3"/>
  <c r="AI45" i="4" s="1"/>
  <c r="AG43" i="3"/>
  <c r="H37" i="18"/>
  <c r="E82" i="4"/>
  <c r="I208" i="16"/>
  <c r="F208" i="16" s="1"/>
  <c r="H208" i="16"/>
  <c r="E208" i="16" s="1"/>
  <c r="AG47" i="3"/>
  <c r="H107" i="4"/>
  <c r="H127" i="4" s="1"/>
  <c r="I62" i="4"/>
  <c r="E3" i="16"/>
  <c r="D76" i="13"/>
  <c r="E66" i="4"/>
  <c r="E80" i="4"/>
  <c r="J101" i="4"/>
  <c r="J123" i="4" s="1"/>
  <c r="K56" i="4"/>
  <c r="K22" i="17"/>
  <c r="D13" i="25"/>
  <c r="K27" i="27"/>
  <c r="D14" i="25"/>
  <c r="L55" i="4"/>
  <c r="S44" i="28"/>
  <c r="S37" i="28"/>
  <c r="G52" i="14"/>
  <c r="E17" i="19"/>
  <c r="F17" i="19" s="1"/>
  <c r="E17" i="23"/>
  <c r="F17" i="23" s="1"/>
  <c r="D13" i="13"/>
  <c r="E20" i="19"/>
  <c r="F20" i="19" s="1"/>
  <c r="G73" i="14"/>
  <c r="E20" i="23"/>
  <c r="F20" i="23" s="1"/>
  <c r="AG46" i="3"/>
  <c r="C52" i="25"/>
  <c r="Q47" i="30" s="1"/>
  <c r="J9" i="20"/>
  <c r="J10" i="20"/>
  <c r="I10" i="20"/>
  <c r="L9" i="20"/>
  <c r="K9" i="20"/>
  <c r="L10" i="20"/>
  <c r="K10" i="20"/>
  <c r="K11" i="20" s="1"/>
  <c r="I9" i="20"/>
  <c r="AH106" i="4"/>
  <c r="AG126" i="4"/>
  <c r="I116" i="16"/>
  <c r="F116" i="16" s="1"/>
  <c r="H116" i="16"/>
  <c r="E116" i="16" s="1"/>
  <c r="E68" i="4"/>
  <c r="E81" i="4"/>
  <c r="H83" i="16"/>
  <c r="E83" i="16" s="1"/>
  <c r="I83" i="16"/>
  <c r="F83" i="16" s="1"/>
  <c r="I112" i="16"/>
  <c r="F112" i="16" s="1"/>
  <c r="H112" i="16"/>
  <c r="E112" i="16" s="1"/>
  <c r="I86" i="16"/>
  <c r="F86" i="16" s="1"/>
  <c r="H86" i="16"/>
  <c r="E86" i="16" s="1"/>
  <c r="D3" i="13"/>
  <c r="B2" i="12"/>
  <c r="C2" i="12" s="1"/>
  <c r="G3" i="14"/>
  <c r="E10" i="19"/>
  <c r="F10" i="19" s="1"/>
  <c r="E10" i="23"/>
  <c r="F10" i="23" s="1"/>
  <c r="D12" i="13"/>
  <c r="E19" i="23"/>
  <c r="F19" i="23" s="1"/>
  <c r="G66" i="14"/>
  <c r="E19" i="19"/>
  <c r="F19" i="19" s="1"/>
  <c r="AG38" i="3"/>
  <c r="AI37" i="4" s="1"/>
  <c r="AG39" i="3"/>
  <c r="AI38" i="4" s="1"/>
  <c r="E34" i="28" l="1"/>
  <c r="D42" i="28"/>
  <c r="D34" i="28"/>
  <c r="G38" i="28"/>
  <c r="B52" i="28"/>
  <c r="F42" i="28"/>
  <c r="H34" i="28"/>
  <c r="G50" i="28" s="1"/>
  <c r="G42" i="28"/>
  <c r="F52" i="28" s="1"/>
  <c r="D50" i="28"/>
  <c r="C50" i="28"/>
  <c r="C52" i="28"/>
  <c r="C42" i="28"/>
  <c r="G11" i="4"/>
  <c r="G50" i="4" s="1"/>
  <c r="G15" i="4"/>
  <c r="Q3" i="7"/>
  <c r="E48" i="3"/>
  <c r="E64" i="3" s="1"/>
  <c r="E26" i="27"/>
  <c r="D124" i="4"/>
  <c r="E40" i="3"/>
  <c r="E56" i="3" s="1"/>
  <c r="E45" i="3"/>
  <c r="E61" i="3" s="1"/>
  <c r="E43" i="3"/>
  <c r="E59" i="3" s="1"/>
  <c r="E44" i="3"/>
  <c r="E60" i="3" s="1"/>
  <c r="E41" i="3"/>
  <c r="E57" i="3" s="1"/>
  <c r="E39" i="3"/>
  <c r="E55" i="3" s="1"/>
  <c r="E42" i="3"/>
  <c r="E58" i="3" s="1"/>
  <c r="E46" i="3"/>
  <c r="E62" i="3" s="1"/>
  <c r="E38" i="3"/>
  <c r="E54" i="3" s="1"/>
  <c r="E51" i="3"/>
  <c r="E67" i="3" s="1"/>
  <c r="E47" i="3"/>
  <c r="E63" i="3" s="1"/>
  <c r="E50" i="3"/>
  <c r="E66" i="3" s="1"/>
  <c r="E98" i="4"/>
  <c r="G13" i="4"/>
  <c r="G52" i="4" s="1"/>
  <c r="E65" i="3"/>
  <c r="E104" i="4"/>
  <c r="E135" i="4" s="1"/>
  <c r="E94" i="4"/>
  <c r="E99" i="4"/>
  <c r="F38" i="4"/>
  <c r="M3" i="16"/>
  <c r="M4" i="16" s="1"/>
  <c r="AG51" i="3"/>
  <c r="AI43" i="4" s="1"/>
  <c r="F45" i="4"/>
  <c r="N3" i="16"/>
  <c r="N4" i="16" s="1"/>
  <c r="Q12" i="16" s="1"/>
  <c r="N8" i="16" s="1"/>
  <c r="E97" i="4"/>
  <c r="F40" i="4"/>
  <c r="E95" i="4"/>
  <c r="E96" i="4"/>
  <c r="AH34" i="4"/>
  <c r="F39" i="4"/>
  <c r="F89" i="4"/>
  <c r="F69" i="4"/>
  <c r="F42" i="4"/>
  <c r="G51" i="4"/>
  <c r="F83" i="4"/>
  <c r="G59" i="4"/>
  <c r="G49" i="4"/>
  <c r="G53" i="4"/>
  <c r="G7" i="4"/>
  <c r="F19" i="3"/>
  <c r="G20" i="2"/>
  <c r="F126" i="4"/>
  <c r="F137" i="4"/>
  <c r="D44" i="13"/>
  <c r="D21" i="13"/>
  <c r="D58" i="13" s="1"/>
  <c r="D10" i="13"/>
  <c r="F84" i="4"/>
  <c r="D18" i="13"/>
  <c r="D41" i="13"/>
  <c r="D25" i="13"/>
  <c r="D62" i="13" s="1"/>
  <c r="D48" i="13"/>
  <c r="D14" i="13"/>
  <c r="D49" i="13"/>
  <c r="D26" i="13"/>
  <c r="D63" i="13" s="1"/>
  <c r="K20" i="17"/>
  <c r="K25" i="27"/>
  <c r="W11" i="20" a="1"/>
  <c r="X54" i="23"/>
  <c r="X54" i="19"/>
  <c r="G46" i="14"/>
  <c r="S45" i="14"/>
  <c r="D22" i="13"/>
  <c r="D59" i="13" s="1"/>
  <c r="D45" i="13"/>
  <c r="F51" i="28"/>
  <c r="H38" i="28"/>
  <c r="C10" i="12"/>
  <c r="D3" i="12"/>
  <c r="F74" i="28"/>
  <c r="F73" i="4"/>
  <c r="H5" i="4"/>
  <c r="G103" i="3"/>
  <c r="I17" i="2"/>
  <c r="D50" i="13"/>
  <c r="D27" i="13"/>
  <c r="D64" i="13" s="1"/>
  <c r="M55" i="4"/>
  <c r="K101" i="4"/>
  <c r="K123" i="4" s="1"/>
  <c r="L56" i="4"/>
  <c r="I107" i="4"/>
  <c r="I127" i="4" s="1"/>
  <c r="J62" i="4"/>
  <c r="D46" i="13"/>
  <c r="D23" i="13"/>
  <c r="D60" i="13" s="1"/>
  <c r="G16" i="4"/>
  <c r="F100" i="3"/>
  <c r="F79" i="4"/>
  <c r="I85" i="4"/>
  <c r="H100" i="4"/>
  <c r="H136" i="4" s="1"/>
  <c r="F65" i="4"/>
  <c r="H6" i="4"/>
  <c r="G136" i="3"/>
  <c r="I18" i="2"/>
  <c r="H42" i="28"/>
  <c r="G52" i="28" s="1"/>
  <c r="E22" i="17"/>
  <c r="E27" i="27"/>
  <c r="H70" i="3"/>
  <c r="I4" i="4"/>
  <c r="J16" i="2"/>
  <c r="E133" i="3"/>
  <c r="F25" i="4"/>
  <c r="F72" i="4" s="1"/>
  <c r="F115" i="3"/>
  <c r="F131" i="3" s="1"/>
  <c r="G27" i="4" s="1"/>
  <c r="F111" i="3"/>
  <c r="F127" i="3" s="1"/>
  <c r="G24" i="4" s="1"/>
  <c r="F108" i="3"/>
  <c r="F124" i="3" s="1"/>
  <c r="F104" i="3"/>
  <c r="F120" i="3" s="1"/>
  <c r="G19" i="4" s="1"/>
  <c r="F114" i="3"/>
  <c r="F130" i="3" s="1"/>
  <c r="G26" i="4" s="1"/>
  <c r="F105" i="3"/>
  <c r="F121" i="3" s="1"/>
  <c r="G20" i="4" s="1"/>
  <c r="F107" i="3"/>
  <c r="F123" i="3" s="1"/>
  <c r="G22" i="4" s="1"/>
  <c r="F117" i="3"/>
  <c r="F109" i="3"/>
  <c r="F125" i="3" s="1"/>
  <c r="F116" i="3"/>
  <c r="F132" i="3" s="1"/>
  <c r="F113" i="3"/>
  <c r="F129" i="3" s="1"/>
  <c r="F112" i="3"/>
  <c r="F128" i="3" s="1"/>
  <c r="F106" i="3"/>
  <c r="F122" i="3" s="1"/>
  <c r="G21" i="4" s="1"/>
  <c r="F110" i="3"/>
  <c r="F126" i="3" s="1"/>
  <c r="G23" i="4" s="1"/>
  <c r="E72" i="4"/>
  <c r="E102" i="4" s="1"/>
  <c r="E43" i="4"/>
  <c r="AH43" i="4" s="1"/>
  <c r="X82" i="23"/>
  <c r="X82" i="19"/>
  <c r="G74" i="14"/>
  <c r="S73" i="14"/>
  <c r="D19" i="13"/>
  <c r="D42" i="13"/>
  <c r="X12" i="23"/>
  <c r="X12" i="19"/>
  <c r="S3" i="14"/>
  <c r="G4" i="14"/>
  <c r="G54" i="4"/>
  <c r="I55" i="5"/>
  <c r="J51" i="5"/>
  <c r="M63" i="4"/>
  <c r="F139" i="3"/>
  <c r="F155" i="3" s="1"/>
  <c r="G30" i="4" s="1"/>
  <c r="F140" i="3"/>
  <c r="F156" i="3" s="1"/>
  <c r="G31" i="4" s="1"/>
  <c r="F148" i="3"/>
  <c r="F164" i="3" s="1"/>
  <c r="G36" i="4" s="1"/>
  <c r="F141" i="3"/>
  <c r="F157" i="3" s="1"/>
  <c r="F147" i="3"/>
  <c r="F163" i="3" s="1"/>
  <c r="G35" i="4" s="1"/>
  <c r="F138" i="3"/>
  <c r="F154" i="3" s="1"/>
  <c r="G29" i="4" s="1"/>
  <c r="F144" i="3"/>
  <c r="F160" i="3" s="1"/>
  <c r="G33" i="4" s="1"/>
  <c r="F145" i="3"/>
  <c r="F161" i="3" s="1"/>
  <c r="F150" i="3"/>
  <c r="F143" i="3"/>
  <c r="F159" i="3" s="1"/>
  <c r="G32" i="4" s="1"/>
  <c r="F149" i="3"/>
  <c r="F165" i="3" s="1"/>
  <c r="F146" i="3"/>
  <c r="F162" i="3" s="1"/>
  <c r="F142" i="3"/>
  <c r="F158" i="3" s="1"/>
  <c r="F137" i="3"/>
  <c r="F153" i="3" s="1"/>
  <c r="G28" i="4" s="1"/>
  <c r="F38" i="28"/>
  <c r="E51" i="28" s="1"/>
  <c r="G34" i="28"/>
  <c r="F50" i="28" s="1"/>
  <c r="E25" i="27"/>
  <c r="E20" i="17"/>
  <c r="X33" i="23"/>
  <c r="X33" i="19"/>
  <c r="G25" i="14"/>
  <c r="S24" i="14"/>
  <c r="F68" i="4"/>
  <c r="C9" i="12"/>
  <c r="D2" i="12"/>
  <c r="F82" i="4"/>
  <c r="F88" i="4"/>
  <c r="F64" i="4"/>
  <c r="J34" i="28"/>
  <c r="I50" i="28" s="1"/>
  <c r="J42" i="28"/>
  <c r="I52" i="28" s="1"/>
  <c r="F34" i="28"/>
  <c r="E50" i="28" s="1"/>
  <c r="E42" i="28"/>
  <c r="D52" i="28" s="1"/>
  <c r="F74" i="4"/>
  <c r="E103" i="4"/>
  <c r="E134" i="4" s="1"/>
  <c r="H19" i="2"/>
  <c r="F57" i="4"/>
  <c r="D40" i="13"/>
  <c r="D17" i="13"/>
  <c r="D6" i="13"/>
  <c r="X61" i="23"/>
  <c r="X61" i="19"/>
  <c r="S52" i="14"/>
  <c r="G53" i="14"/>
  <c r="F80" i="4"/>
  <c r="X89" i="23"/>
  <c r="X89" i="19"/>
  <c r="G81" i="14"/>
  <c r="S80" i="14"/>
  <c r="G30" i="18"/>
  <c r="G32" i="18" s="1"/>
  <c r="G33" i="18" s="1"/>
  <c r="F32" i="18"/>
  <c r="F33" i="18" s="1"/>
  <c r="I78" i="4"/>
  <c r="H108" i="4"/>
  <c r="H128" i="4" s="1"/>
  <c r="G51" i="28"/>
  <c r="E38" i="28"/>
  <c r="I38" i="28"/>
  <c r="H51" i="28" s="1"/>
  <c r="D36" i="18"/>
  <c r="C38" i="18"/>
  <c r="C39" i="18" s="1"/>
  <c r="C41" i="18" s="1"/>
  <c r="F37" i="4"/>
  <c r="G80" i="3"/>
  <c r="G96" i="3" s="1"/>
  <c r="G78" i="3"/>
  <c r="G94" i="3" s="1"/>
  <c r="G73" i="3"/>
  <c r="G89" i="3" s="1"/>
  <c r="H12" i="4" s="1"/>
  <c r="G81" i="3"/>
  <c r="G97" i="3" s="1"/>
  <c r="G82" i="3"/>
  <c r="G98" i="3" s="1"/>
  <c r="H18" i="4" s="1"/>
  <c r="G77" i="3"/>
  <c r="G93" i="3" s="1"/>
  <c r="H14" i="4" s="1"/>
  <c r="G74" i="3"/>
  <c r="G90" i="3" s="1"/>
  <c r="G84" i="3"/>
  <c r="G72" i="3"/>
  <c r="G88" i="3" s="1"/>
  <c r="G71" i="3"/>
  <c r="G87" i="3" s="1"/>
  <c r="H10" i="4" s="1"/>
  <c r="G79" i="3"/>
  <c r="G95" i="3" s="1"/>
  <c r="G76" i="3"/>
  <c r="G92" i="3" s="1"/>
  <c r="G75" i="3"/>
  <c r="G91" i="3" s="1"/>
  <c r="G83" i="3"/>
  <c r="G99" i="3" s="1"/>
  <c r="F34" i="4"/>
  <c r="F87" i="4" s="1"/>
  <c r="E166" i="3"/>
  <c r="X75" i="23"/>
  <c r="X75" i="19"/>
  <c r="G67" i="14"/>
  <c r="S66" i="14"/>
  <c r="F81" i="4"/>
  <c r="D16" i="25"/>
  <c r="F67" i="4"/>
  <c r="K12" i="23"/>
  <c r="H11" i="23"/>
  <c r="J12" i="23"/>
  <c r="J13" i="23" s="1"/>
  <c r="I12" i="23"/>
  <c r="J11" i="23"/>
  <c r="I11" i="23"/>
  <c r="H12" i="23"/>
  <c r="K11" i="23"/>
  <c r="X26" i="23"/>
  <c r="X26" i="19"/>
  <c r="G18" i="14"/>
  <c r="S17" i="14"/>
  <c r="X47" i="23"/>
  <c r="X47" i="19"/>
  <c r="G39" i="14"/>
  <c r="S38" i="14"/>
  <c r="D51" i="28"/>
  <c r="I34" i="28"/>
  <c r="H50" i="28" s="1"/>
  <c r="J38" i="28"/>
  <c r="I51" i="28" s="1"/>
  <c r="C34" i="28"/>
  <c r="B50" i="28" s="1"/>
  <c r="F44" i="4"/>
  <c r="F58" i="4"/>
  <c r="G17" i="4"/>
  <c r="X68" i="23"/>
  <c r="X68" i="19"/>
  <c r="G60" i="14"/>
  <c r="S59" i="14"/>
  <c r="F41" i="4"/>
  <c r="F66" i="4"/>
  <c r="B41" i="18"/>
  <c r="E52" i="28"/>
  <c r="D38" i="28"/>
  <c r="C51" i="28" s="1"/>
  <c r="I42" i="28"/>
  <c r="H52" i="28" s="1"/>
  <c r="C38" i="28"/>
  <c r="B51" i="28" s="1"/>
  <c r="X40" i="23"/>
  <c r="S31" i="14"/>
  <c r="G32" i="14"/>
  <c r="X40" i="19"/>
  <c r="X19" i="23"/>
  <c r="X19" i="19"/>
  <c r="S10" i="14"/>
  <c r="G11" i="14"/>
  <c r="D4" i="12"/>
  <c r="C11" i="12"/>
  <c r="H11" i="4" l="1"/>
  <c r="H33" i="18"/>
  <c r="E122" i="4"/>
  <c r="H15" i="4"/>
  <c r="H54" i="4" s="1"/>
  <c r="E120" i="4"/>
  <c r="O3" i="16"/>
  <c r="F104" i="4"/>
  <c r="F135" i="4" s="1"/>
  <c r="H13" i="4"/>
  <c r="H52" i="4" s="1"/>
  <c r="O4" i="16"/>
  <c r="F103" i="4"/>
  <c r="F134" i="4" s="1"/>
  <c r="F95" i="4"/>
  <c r="F98" i="4"/>
  <c r="F99" i="4"/>
  <c r="E110" i="4"/>
  <c r="E115" i="4" s="1"/>
  <c r="E133" i="4"/>
  <c r="G42" i="4"/>
  <c r="E121" i="4"/>
  <c r="I19" i="2"/>
  <c r="H19" i="3" s="1"/>
  <c r="J50" i="28"/>
  <c r="J51" i="28"/>
  <c r="B63" i="28" s="1"/>
  <c r="D63" i="28" s="1"/>
  <c r="E132" i="4"/>
  <c r="F94" i="4"/>
  <c r="G45" i="4"/>
  <c r="F97" i="4"/>
  <c r="J52" i="28"/>
  <c r="B64" i="28" s="1"/>
  <c r="E64" i="28" s="1"/>
  <c r="G39" i="4"/>
  <c r="F96" i="4"/>
  <c r="G106" i="4"/>
  <c r="G126" i="4" s="1"/>
  <c r="G79" i="4"/>
  <c r="G73" i="4"/>
  <c r="G89" i="4"/>
  <c r="G83" i="4"/>
  <c r="G82" i="4"/>
  <c r="H51" i="4"/>
  <c r="H49" i="4"/>
  <c r="H53" i="4"/>
  <c r="H50" i="4"/>
  <c r="H59" i="4"/>
  <c r="G37" i="4"/>
  <c r="G67" i="4"/>
  <c r="G40" i="4"/>
  <c r="G68" i="4"/>
  <c r="G41" i="4"/>
  <c r="G65" i="4"/>
  <c r="G38" i="4"/>
  <c r="X20" i="23"/>
  <c r="X20" i="19"/>
  <c r="S11" i="14"/>
  <c r="G12" i="14"/>
  <c r="I73" i="14"/>
  <c r="F73" i="14" s="1"/>
  <c r="H73" i="14"/>
  <c r="E73" i="14" s="1"/>
  <c r="D55" i="13"/>
  <c r="H20" i="13"/>
  <c r="H24" i="14"/>
  <c r="E24" i="14" s="1"/>
  <c r="I24" i="14"/>
  <c r="F24" i="14" s="1"/>
  <c r="G80" i="4"/>
  <c r="G74" i="4"/>
  <c r="E2" i="12"/>
  <c r="D9" i="12"/>
  <c r="X34" i="23"/>
  <c r="X34" i="19"/>
  <c r="G26" i="14"/>
  <c r="S25" i="14"/>
  <c r="G34" i="4"/>
  <c r="G87" i="4" s="1"/>
  <c r="F166" i="3"/>
  <c r="X83" i="23"/>
  <c r="X83" i="19"/>
  <c r="G75" i="14"/>
  <c r="S74" i="14"/>
  <c r="I70" i="3"/>
  <c r="J4" i="4"/>
  <c r="K16" i="2"/>
  <c r="G84" i="4"/>
  <c r="G64" i="4"/>
  <c r="H38" i="14"/>
  <c r="E38" i="14" s="1"/>
  <c r="I38" i="14"/>
  <c r="F38" i="14" s="1"/>
  <c r="N63" i="4"/>
  <c r="X13" i="23"/>
  <c r="X13" i="19"/>
  <c r="S4" i="14"/>
  <c r="G5" i="14"/>
  <c r="F50" i="3"/>
  <c r="F66" i="3" s="1"/>
  <c r="F49" i="3"/>
  <c r="F65" i="3" s="1"/>
  <c r="F39" i="3"/>
  <c r="F55" i="3" s="1"/>
  <c r="F38" i="3"/>
  <c r="F54" i="3" s="1"/>
  <c r="F42" i="3"/>
  <c r="F58" i="3" s="1"/>
  <c r="F41" i="3"/>
  <c r="F57" i="3" s="1"/>
  <c r="F45" i="3"/>
  <c r="F61" i="3" s="1"/>
  <c r="F43" i="3"/>
  <c r="F59" i="3" s="1"/>
  <c r="F51" i="3"/>
  <c r="F67" i="3" s="1"/>
  <c r="F44" i="3"/>
  <c r="F60" i="3" s="1"/>
  <c r="F48" i="3"/>
  <c r="F64" i="3" s="1"/>
  <c r="F46" i="3"/>
  <c r="F62" i="3" s="1"/>
  <c r="F40" i="3"/>
  <c r="F56" i="3" s="1"/>
  <c r="F47" i="3"/>
  <c r="F63" i="3" s="1"/>
  <c r="E36" i="18"/>
  <c r="D38" i="18"/>
  <c r="D39" i="18" s="1"/>
  <c r="D41" i="18" s="1"/>
  <c r="D54" i="13"/>
  <c r="H21" i="13"/>
  <c r="H66" i="14"/>
  <c r="E66" i="14" s="1"/>
  <c r="I66" i="14"/>
  <c r="F66" i="14" s="1"/>
  <c r="H59" i="14"/>
  <c r="E59" i="14" s="1"/>
  <c r="I59" i="14"/>
  <c r="F59" i="14" s="1"/>
  <c r="X48" i="23"/>
  <c r="X48" i="19"/>
  <c r="G40" i="14"/>
  <c r="S39" i="14"/>
  <c r="X76" i="23"/>
  <c r="X76" i="19"/>
  <c r="G68" i="14"/>
  <c r="S67" i="14"/>
  <c r="X62" i="23"/>
  <c r="X62" i="19"/>
  <c r="G54" i="14"/>
  <c r="S53" i="14"/>
  <c r="F102" i="4"/>
  <c r="I3" i="14"/>
  <c r="H3" i="14"/>
  <c r="J107" i="4"/>
  <c r="J127" i="4" s="1"/>
  <c r="K62" i="4"/>
  <c r="I45" i="14"/>
  <c r="F45" i="14" s="1"/>
  <c r="H45" i="14"/>
  <c r="E45" i="14" s="1"/>
  <c r="D47" i="13"/>
  <c r="D24" i="13"/>
  <c r="D61" i="13" s="1"/>
  <c r="G43" i="13"/>
  <c r="D77" i="13"/>
  <c r="X69" i="23"/>
  <c r="X69" i="19"/>
  <c r="S60" i="14"/>
  <c r="G61" i="14"/>
  <c r="J55" i="5"/>
  <c r="K51" i="5"/>
  <c r="H77" i="3"/>
  <c r="H93" i="3" s="1"/>
  <c r="I14" i="4" s="1"/>
  <c r="H71" i="3"/>
  <c r="H87" i="3" s="1"/>
  <c r="I10" i="4" s="1"/>
  <c r="H73" i="3"/>
  <c r="H89" i="3" s="1"/>
  <c r="I12" i="4" s="1"/>
  <c r="H80" i="3"/>
  <c r="H96" i="3" s="1"/>
  <c r="H75" i="3"/>
  <c r="H91" i="3" s="1"/>
  <c r="H72" i="3"/>
  <c r="H88" i="3" s="1"/>
  <c r="I11" i="4" s="1"/>
  <c r="H76" i="3"/>
  <c r="H92" i="3" s="1"/>
  <c r="H78" i="3"/>
  <c r="H94" i="3" s="1"/>
  <c r="H83" i="3"/>
  <c r="H99" i="3" s="1"/>
  <c r="H82" i="3"/>
  <c r="H98" i="3" s="1"/>
  <c r="I18" i="4" s="1"/>
  <c r="H74" i="3"/>
  <c r="H90" i="3" s="1"/>
  <c r="H81" i="3"/>
  <c r="H97" i="3" s="1"/>
  <c r="H79" i="3"/>
  <c r="H95" i="3" s="1"/>
  <c r="H84" i="3"/>
  <c r="D10" i="12"/>
  <c r="E3" i="12"/>
  <c r="X55" i="23"/>
  <c r="X55" i="19"/>
  <c r="G47" i="14"/>
  <c r="S46" i="14"/>
  <c r="D28" i="13"/>
  <c r="D65" i="13" s="1"/>
  <c r="D51" i="13"/>
  <c r="G69" i="4"/>
  <c r="G81" i="4"/>
  <c r="F43" i="4"/>
  <c r="J85" i="4"/>
  <c r="I100" i="4"/>
  <c r="I136" i="4" s="1"/>
  <c r="H31" i="14"/>
  <c r="E31" i="14" s="1"/>
  <c r="I31" i="14"/>
  <c r="F31" i="14" s="1"/>
  <c r="H80" i="14"/>
  <c r="E80" i="14" s="1"/>
  <c r="I80" i="14"/>
  <c r="F80" i="14" s="1"/>
  <c r="G88" i="4"/>
  <c r="I6" i="4"/>
  <c r="H136" i="3"/>
  <c r="J18" i="2"/>
  <c r="L101" i="4"/>
  <c r="L123" i="4" s="1"/>
  <c r="M56" i="4"/>
  <c r="I5" i="4"/>
  <c r="H103" i="3"/>
  <c r="J17" i="2"/>
  <c r="I10" i="14"/>
  <c r="F10" i="14" s="1"/>
  <c r="H10" i="14"/>
  <c r="E10" i="14" s="1"/>
  <c r="G57" i="4"/>
  <c r="J78" i="4"/>
  <c r="I108" i="4"/>
  <c r="I128" i="4" s="1"/>
  <c r="X41" i="23"/>
  <c r="X41" i="19"/>
  <c r="G33" i="14"/>
  <c r="S32" i="14"/>
  <c r="H52" i="14"/>
  <c r="E52" i="14" s="1"/>
  <c r="I52" i="14"/>
  <c r="F52" i="14" s="1"/>
  <c r="E4" i="12"/>
  <c r="D11" i="12"/>
  <c r="H17" i="14"/>
  <c r="E17" i="14" s="1"/>
  <c r="I17" i="14"/>
  <c r="F17" i="14" s="1"/>
  <c r="G100" i="3"/>
  <c r="H16" i="4"/>
  <c r="X90" i="23"/>
  <c r="X90" i="19"/>
  <c r="G82" i="14"/>
  <c r="S81" i="14"/>
  <c r="D75" i="13"/>
  <c r="G41" i="13"/>
  <c r="G147" i="3"/>
  <c r="G163" i="3" s="1"/>
  <c r="H35" i="4" s="1"/>
  <c r="G149" i="3"/>
  <c r="G165" i="3" s="1"/>
  <c r="G146" i="3"/>
  <c r="G162" i="3" s="1"/>
  <c r="G143" i="3"/>
  <c r="G159" i="3" s="1"/>
  <c r="H32" i="4" s="1"/>
  <c r="G145" i="3"/>
  <c r="G161" i="3" s="1"/>
  <c r="G140" i="3"/>
  <c r="G156" i="3" s="1"/>
  <c r="H31" i="4" s="1"/>
  <c r="G142" i="3"/>
  <c r="G158" i="3" s="1"/>
  <c r="G138" i="3"/>
  <c r="G154" i="3" s="1"/>
  <c r="H29" i="4" s="1"/>
  <c r="G148" i="3"/>
  <c r="G164" i="3" s="1"/>
  <c r="H36" i="4" s="1"/>
  <c r="G139" i="3"/>
  <c r="G155" i="3" s="1"/>
  <c r="H30" i="4" s="1"/>
  <c r="G150" i="3"/>
  <c r="G141" i="3"/>
  <c r="G157" i="3" s="1"/>
  <c r="G137" i="3"/>
  <c r="G153" i="3" s="1"/>
  <c r="H28" i="4" s="1"/>
  <c r="G144" i="3"/>
  <c r="G160" i="3" s="1"/>
  <c r="H33" i="4" s="1"/>
  <c r="G116" i="3"/>
  <c r="G132" i="3" s="1"/>
  <c r="G105" i="3"/>
  <c r="G121" i="3" s="1"/>
  <c r="H20" i="4" s="1"/>
  <c r="G112" i="3"/>
  <c r="G128" i="3" s="1"/>
  <c r="G104" i="3"/>
  <c r="G120" i="3" s="1"/>
  <c r="H19" i="4" s="1"/>
  <c r="G109" i="3"/>
  <c r="G125" i="3" s="1"/>
  <c r="G113" i="3"/>
  <c r="G129" i="3" s="1"/>
  <c r="G115" i="3"/>
  <c r="G131" i="3" s="1"/>
  <c r="H27" i="4" s="1"/>
  <c r="G106" i="3"/>
  <c r="G122" i="3" s="1"/>
  <c r="H21" i="4" s="1"/>
  <c r="G110" i="3"/>
  <c r="G126" i="3" s="1"/>
  <c r="H23" i="4" s="1"/>
  <c r="G117" i="3"/>
  <c r="G107" i="3"/>
  <c r="G123" i="3" s="1"/>
  <c r="H22" i="4" s="1"/>
  <c r="G111" i="3"/>
  <c r="G127" i="3" s="1"/>
  <c r="H24" i="4" s="1"/>
  <c r="G108" i="3"/>
  <c r="G124" i="3" s="1"/>
  <c r="G114" i="3"/>
  <c r="G130" i="3" s="1"/>
  <c r="H26" i="4" s="1"/>
  <c r="G66" i="4"/>
  <c r="G58" i="4"/>
  <c r="G44" i="4"/>
  <c r="H17" i="4"/>
  <c r="X27" i="23"/>
  <c r="X27" i="19"/>
  <c r="G19" i="14"/>
  <c r="S18" i="14"/>
  <c r="D43" i="13"/>
  <c r="D20" i="13"/>
  <c r="H7" i="4"/>
  <c r="G19" i="3"/>
  <c r="H20" i="2"/>
  <c r="H32" i="18"/>
  <c r="D56" i="13"/>
  <c r="H19" i="13"/>
  <c r="E124" i="4"/>
  <c r="G25" i="4"/>
  <c r="G72" i="4" s="1"/>
  <c r="F133" i="3"/>
  <c r="N55" i="4"/>
  <c r="X260" i="20"/>
  <c r="X256" i="20"/>
  <c r="X252" i="20"/>
  <c r="X248" i="20"/>
  <c r="X244" i="20"/>
  <c r="X240" i="20"/>
  <c r="X236" i="20"/>
  <c r="X232" i="20"/>
  <c r="X228" i="20"/>
  <c r="X224" i="20"/>
  <c r="X220" i="20"/>
  <c r="X216" i="20"/>
  <c r="X212" i="20"/>
  <c r="X208" i="20"/>
  <c r="X204" i="20"/>
  <c r="X200" i="20"/>
  <c r="X196" i="20"/>
  <c r="X192" i="20"/>
  <c r="X188" i="20"/>
  <c r="X184" i="20"/>
  <c r="X180" i="20"/>
  <c r="X176" i="20"/>
  <c r="X172" i="20"/>
  <c r="X168" i="20"/>
  <c r="X164" i="20"/>
  <c r="X160" i="20"/>
  <c r="X156" i="20"/>
  <c r="X152" i="20"/>
  <c r="X148" i="20"/>
  <c r="X144" i="20"/>
  <c r="X140" i="20"/>
  <c r="X136" i="20"/>
  <c r="X132" i="20"/>
  <c r="X128" i="20"/>
  <c r="X124" i="20"/>
  <c r="X120" i="20"/>
  <c r="X116" i="20"/>
  <c r="X112" i="20"/>
  <c r="X108" i="20"/>
  <c r="X104" i="20"/>
  <c r="X100" i="20"/>
  <c r="X96" i="20"/>
  <c r="X92" i="20"/>
  <c r="X88" i="20"/>
  <c r="X84" i="20"/>
  <c r="X80" i="20"/>
  <c r="X76" i="20"/>
  <c r="X72" i="20"/>
  <c r="X68" i="20"/>
  <c r="X64" i="20"/>
  <c r="X60" i="20"/>
  <c r="X56" i="20"/>
  <c r="X52" i="20"/>
  <c r="X48" i="20"/>
  <c r="X44" i="20"/>
  <c r="X40" i="20"/>
  <c r="X36" i="20"/>
  <c r="X32" i="20"/>
  <c r="X28" i="20"/>
  <c r="X24" i="20"/>
  <c r="X20" i="20"/>
  <c r="X16" i="20"/>
  <c r="X12" i="20"/>
  <c r="W260" i="20"/>
  <c r="W256" i="20"/>
  <c r="W252" i="20"/>
  <c r="W248" i="20"/>
  <c r="W244" i="20"/>
  <c r="W240" i="20"/>
  <c r="W236" i="20"/>
  <c r="W232" i="20"/>
  <c r="W228" i="20"/>
  <c r="W224" i="20"/>
  <c r="W220" i="20"/>
  <c r="W216" i="20"/>
  <c r="W212" i="20"/>
  <c r="W208" i="20"/>
  <c r="W204" i="20"/>
  <c r="W200" i="20"/>
  <c r="W196" i="20"/>
  <c r="W192" i="20"/>
  <c r="W188" i="20"/>
  <c r="W184" i="20"/>
  <c r="W180" i="20"/>
  <c r="W176" i="20"/>
  <c r="W172" i="20"/>
  <c r="W168" i="20"/>
  <c r="W164" i="20"/>
  <c r="W160" i="20"/>
  <c r="W156" i="20"/>
  <c r="W152" i="20"/>
  <c r="W148" i="20"/>
  <c r="W144" i="20"/>
  <c r="W140" i="20"/>
  <c r="W136" i="20"/>
  <c r="W132" i="20"/>
  <c r="W128" i="20"/>
  <c r="W124" i="20"/>
  <c r="W120" i="20"/>
  <c r="W116" i="20"/>
  <c r="W112" i="20"/>
  <c r="W108" i="20"/>
  <c r="W104" i="20"/>
  <c r="W100" i="20"/>
  <c r="W96" i="20"/>
  <c r="W92" i="20"/>
  <c r="W88" i="20"/>
  <c r="W84" i="20"/>
  <c r="W80" i="20"/>
  <c r="W76" i="20"/>
  <c r="W72" i="20"/>
  <c r="W68" i="20"/>
  <c r="W64" i="20"/>
  <c r="W60" i="20"/>
  <c r="W56" i="20"/>
  <c r="W52" i="20"/>
  <c r="W48" i="20"/>
  <c r="W44" i="20"/>
  <c r="W40" i="20"/>
  <c r="W36" i="20"/>
  <c r="W32" i="20"/>
  <c r="W28" i="20"/>
  <c r="W24" i="20"/>
  <c r="W20" i="20"/>
  <c r="W16" i="20"/>
  <c r="W12" i="20"/>
  <c r="W258" i="20"/>
  <c r="W253" i="20"/>
  <c r="W247" i="20"/>
  <c r="W242" i="20"/>
  <c r="W237" i="20"/>
  <c r="W231" i="20"/>
  <c r="W226" i="20"/>
  <c r="W221" i="20"/>
  <c r="W215" i="20"/>
  <c r="W210" i="20"/>
  <c r="W205" i="20"/>
  <c r="W199" i="20"/>
  <c r="W194" i="20"/>
  <c r="W189" i="20"/>
  <c r="W183" i="20"/>
  <c r="W178" i="20"/>
  <c r="W173" i="20"/>
  <c r="W167" i="20"/>
  <c r="W162" i="20"/>
  <c r="W157" i="20"/>
  <c r="W151" i="20"/>
  <c r="W146" i="20"/>
  <c r="W141" i="20"/>
  <c r="W135" i="20"/>
  <c r="W130" i="20"/>
  <c r="W125" i="20"/>
  <c r="W119" i="20"/>
  <c r="W114" i="20"/>
  <c r="W109" i="20"/>
  <c r="W103" i="20"/>
  <c r="W98" i="20"/>
  <c r="W93" i="20"/>
  <c r="W87" i="20"/>
  <c r="W82" i="20"/>
  <c r="W77" i="20"/>
  <c r="W71" i="20"/>
  <c r="W66" i="20"/>
  <c r="W61" i="20"/>
  <c r="W262" i="20"/>
  <c r="W257" i="20"/>
  <c r="W251" i="20"/>
  <c r="W246" i="20"/>
  <c r="W241" i="20"/>
  <c r="W235" i="20"/>
  <c r="W230" i="20"/>
  <c r="W225" i="20"/>
  <c r="W219" i="20"/>
  <c r="W214" i="20"/>
  <c r="W209" i="20"/>
  <c r="W203" i="20"/>
  <c r="W198" i="20"/>
  <c r="W193" i="20"/>
  <c r="W187" i="20"/>
  <c r="W182" i="20"/>
  <c r="W177" i="20"/>
  <c r="W171" i="20"/>
  <c r="W166" i="20"/>
  <c r="W161" i="20"/>
  <c r="W155" i="20"/>
  <c r="W150" i="20"/>
  <c r="W145" i="20"/>
  <c r="W139" i="20"/>
  <c r="W134" i="20"/>
  <c r="W129" i="20"/>
  <c r="W123" i="20"/>
  <c r="W118" i="20"/>
  <c r="W113" i="20"/>
  <c r="W107" i="20"/>
  <c r="W102" i="20"/>
  <c r="W97" i="20"/>
  <c r="W91" i="20"/>
  <c r="W86" i="20"/>
  <c r="W81" i="20"/>
  <c r="W75" i="20"/>
  <c r="W70" i="20"/>
  <c r="W65" i="20"/>
  <c r="W59" i="20"/>
  <c r="W54" i="20"/>
  <c r="W49" i="20"/>
  <c r="W43" i="20"/>
  <c r="W38" i="20"/>
  <c r="W33" i="20"/>
  <c r="W27" i="20"/>
  <c r="W22" i="20"/>
  <c r="W17" i="20"/>
  <c r="X261" i="20"/>
  <c r="X255" i="20"/>
  <c r="X250" i="20"/>
  <c r="X245" i="20"/>
  <c r="X239" i="20"/>
  <c r="X234" i="20"/>
  <c r="X229" i="20"/>
  <c r="X223" i="20"/>
  <c r="X218" i="20"/>
  <c r="X213" i="20"/>
  <c r="X207" i="20"/>
  <c r="X202" i="20"/>
  <c r="X197" i="20"/>
  <c r="X191" i="20"/>
  <c r="X186" i="20"/>
  <c r="X181" i="20"/>
  <c r="X175" i="20"/>
  <c r="X170" i="20"/>
  <c r="X165" i="20"/>
  <c r="X159" i="20"/>
  <c r="X154" i="20"/>
  <c r="X149" i="20"/>
  <c r="X143" i="20"/>
  <c r="X138" i="20"/>
  <c r="X133" i="20"/>
  <c r="X127" i="20"/>
  <c r="X122" i="20"/>
  <c r="X117" i="20"/>
  <c r="X111" i="20"/>
  <c r="X106" i="20"/>
  <c r="X101" i="20"/>
  <c r="X95" i="20"/>
  <c r="X90" i="20"/>
  <c r="X85" i="20"/>
  <c r="X79" i="20"/>
  <c r="X74" i="20"/>
  <c r="X69" i="20"/>
  <c r="X63" i="20"/>
  <c r="X58" i="20"/>
  <c r="X53" i="20"/>
  <c r="X47" i="20"/>
  <c r="X42" i="20"/>
  <c r="X37" i="20"/>
  <c r="X31" i="20"/>
  <c r="X26" i="20"/>
  <c r="X21" i="20"/>
  <c r="X15" i="20"/>
  <c r="W11" i="20"/>
  <c r="W259" i="20"/>
  <c r="W254" i="20"/>
  <c r="W249" i="20"/>
  <c r="W243" i="20"/>
  <c r="W238" i="20"/>
  <c r="W233" i="20"/>
  <c r="W227" i="20"/>
  <c r="W222" i="20"/>
  <c r="W217" i="20"/>
  <c r="W211" i="20"/>
  <c r="W206" i="20"/>
  <c r="W201" i="20"/>
  <c r="W195" i="20"/>
  <c r="W190" i="20"/>
  <c r="W185" i="20"/>
  <c r="W179" i="20"/>
  <c r="W174" i="20"/>
  <c r="W169" i="20"/>
  <c r="W163" i="20"/>
  <c r="W158" i="20"/>
  <c r="W153" i="20"/>
  <c r="W147" i="20"/>
  <c r="W142" i="20"/>
  <c r="W137" i="20"/>
  <c r="W131" i="20"/>
  <c r="W126" i="20"/>
  <c r="W121" i="20"/>
  <c r="W115" i="20"/>
  <c r="W110" i="20"/>
  <c r="W105" i="20"/>
  <c r="W99" i="20"/>
  <c r="W94" i="20"/>
  <c r="W89" i="20"/>
  <c r="W83" i="20"/>
  <c r="W78" i="20"/>
  <c r="W73" i="20"/>
  <c r="W67" i="20"/>
  <c r="W62" i="20"/>
  <c r="W57" i="20"/>
  <c r="W51" i="20"/>
  <c r="W46" i="20"/>
  <c r="W41" i="20"/>
  <c r="W35" i="20"/>
  <c r="W30" i="20"/>
  <c r="W25" i="20"/>
  <c r="W19" i="20"/>
  <c r="W14" i="20"/>
  <c r="X254" i="20"/>
  <c r="X243" i="20"/>
  <c r="X233" i="20"/>
  <c r="X222" i="20"/>
  <c r="X211" i="20"/>
  <c r="X201" i="20"/>
  <c r="X190" i="20"/>
  <c r="X179" i="20"/>
  <c r="X169" i="20"/>
  <c r="X158" i="20"/>
  <c r="X147" i="20"/>
  <c r="X137" i="20"/>
  <c r="X126" i="20"/>
  <c r="X115" i="20"/>
  <c r="X105" i="20"/>
  <c r="X94" i="20"/>
  <c r="X83" i="20"/>
  <c r="X73" i="20"/>
  <c r="X62" i="20"/>
  <c r="W53" i="20"/>
  <c r="W45" i="20"/>
  <c r="X35" i="20"/>
  <c r="X27" i="20"/>
  <c r="X18" i="20"/>
  <c r="X253" i="20"/>
  <c r="X242" i="20"/>
  <c r="X231" i="20"/>
  <c r="X221" i="20"/>
  <c r="X210" i="20"/>
  <c r="X199" i="20"/>
  <c r="X189" i="20"/>
  <c r="X178" i="20"/>
  <c r="X167" i="20"/>
  <c r="X157" i="20"/>
  <c r="X146" i="20"/>
  <c r="X135" i="20"/>
  <c r="X125" i="20"/>
  <c r="X114" i="20"/>
  <c r="X103" i="20"/>
  <c r="X93" i="20"/>
  <c r="X82" i="20"/>
  <c r="X71" i="20"/>
  <c r="X61" i="20"/>
  <c r="X51" i="20"/>
  <c r="X43" i="20"/>
  <c r="X34" i="20"/>
  <c r="W26" i="20"/>
  <c r="W18" i="20"/>
  <c r="X262" i="20"/>
  <c r="X251" i="20"/>
  <c r="X241" i="20"/>
  <c r="X230" i="20"/>
  <c r="X219" i="20"/>
  <c r="X209" i="20"/>
  <c r="X198" i="20"/>
  <c r="X187" i="20"/>
  <c r="X177" i="20"/>
  <c r="X166" i="20"/>
  <c r="X155" i="20"/>
  <c r="X145" i="20"/>
  <c r="X134" i="20"/>
  <c r="X123" i="20"/>
  <c r="X113" i="20"/>
  <c r="X102" i="20"/>
  <c r="X91" i="20"/>
  <c r="X81" i="20"/>
  <c r="X70" i="20"/>
  <c r="X59" i="20"/>
  <c r="X50" i="20"/>
  <c r="W42" i="20"/>
  <c r="W34" i="20"/>
  <c r="X25" i="20"/>
  <c r="X17" i="20"/>
  <c r="W261" i="20"/>
  <c r="W250" i="20"/>
  <c r="W239" i="20"/>
  <c r="W229" i="20"/>
  <c r="W218" i="20"/>
  <c r="W207" i="20"/>
  <c r="W197" i="20"/>
  <c r="W186" i="20"/>
  <c r="W175" i="20"/>
  <c r="W165" i="20"/>
  <c r="W154" i="20"/>
  <c r="W143" i="20"/>
  <c r="W133" i="20"/>
  <c r="W122" i="20"/>
  <c r="W111" i="20"/>
  <c r="W101" i="20"/>
  <c r="W90" i="20"/>
  <c r="W79" i="20"/>
  <c r="W69" i="20"/>
  <c r="W58" i="20"/>
  <c r="W50" i="20"/>
  <c r="X41" i="20"/>
  <c r="X33" i="20"/>
  <c r="X23" i="20"/>
  <c r="W15" i="20"/>
  <c r="X259" i="20"/>
  <c r="X249" i="20"/>
  <c r="X238" i="20"/>
  <c r="X227" i="20"/>
  <c r="X217" i="20"/>
  <c r="X206" i="20"/>
  <c r="X195" i="20"/>
  <c r="X185" i="20"/>
  <c r="X174" i="20"/>
  <c r="X163" i="20"/>
  <c r="X153" i="20"/>
  <c r="X142" i="20"/>
  <c r="X131" i="20"/>
  <c r="X121" i="20"/>
  <c r="X110" i="20"/>
  <c r="X99" i="20"/>
  <c r="X89" i="20"/>
  <c r="X78" i="20"/>
  <c r="X67" i="20"/>
  <c r="X57" i="20"/>
  <c r="X49" i="20"/>
  <c r="X39" i="20"/>
  <c r="W31" i="20"/>
  <c r="W23" i="20"/>
  <c r="X14" i="20"/>
  <c r="X257" i="20"/>
  <c r="X246" i="20"/>
  <c r="X235" i="20"/>
  <c r="X225" i="20"/>
  <c r="X214" i="20"/>
  <c r="X203" i="20"/>
  <c r="X193" i="20"/>
  <c r="X182" i="20"/>
  <c r="X171" i="20"/>
  <c r="X161" i="20"/>
  <c r="X150" i="20"/>
  <c r="X139" i="20"/>
  <c r="X129" i="20"/>
  <c r="X118" i="20"/>
  <c r="X107" i="20"/>
  <c r="X97" i="20"/>
  <c r="X86" i="20"/>
  <c r="X75" i="20"/>
  <c r="X65" i="20"/>
  <c r="W55" i="20"/>
  <c r="X46" i="20"/>
  <c r="X38" i="20"/>
  <c r="X29" i="20"/>
  <c r="W21" i="20"/>
  <c r="W13" i="20"/>
  <c r="W255" i="20"/>
  <c r="W213" i="20"/>
  <c r="W170" i="20"/>
  <c r="W127" i="20"/>
  <c r="W85" i="20"/>
  <c r="X45" i="20"/>
  <c r="X11" i="20"/>
  <c r="X247" i="20"/>
  <c r="X205" i="20"/>
  <c r="X162" i="20"/>
  <c r="X119" i="20"/>
  <c r="X77" i="20"/>
  <c r="W39" i="20"/>
  <c r="W245" i="20"/>
  <c r="W202" i="20"/>
  <c r="W159" i="20"/>
  <c r="W117" i="20"/>
  <c r="W74" i="20"/>
  <c r="W37" i="20"/>
  <c r="X237" i="20"/>
  <c r="X194" i="20"/>
  <c r="X151" i="20"/>
  <c r="X109" i="20"/>
  <c r="X66" i="20"/>
  <c r="X30" i="20"/>
  <c r="W234" i="20"/>
  <c r="W191" i="20"/>
  <c r="W149" i="20"/>
  <c r="W106" i="20"/>
  <c r="W63" i="20"/>
  <c r="W29" i="20"/>
  <c r="X226" i="20"/>
  <c r="X130" i="20"/>
  <c r="X19" i="20"/>
  <c r="W223" i="20"/>
  <c r="X98" i="20"/>
  <c r="X13" i="20"/>
  <c r="X215" i="20"/>
  <c r="W95" i="20"/>
  <c r="X183" i="20"/>
  <c r="X87" i="20"/>
  <c r="X54" i="20"/>
  <c r="W47" i="20"/>
  <c r="X258" i="20"/>
  <c r="X22" i="20"/>
  <c r="W181" i="20"/>
  <c r="X173" i="20"/>
  <c r="X141" i="20"/>
  <c r="W138" i="20"/>
  <c r="X55" i="20"/>
  <c r="D78" i="13"/>
  <c r="G42" i="13"/>
  <c r="I15" i="4" l="1"/>
  <c r="G97" i="4"/>
  <c r="F122" i="4"/>
  <c r="E63" i="28"/>
  <c r="I13" i="4"/>
  <c r="I52" i="4" s="1"/>
  <c r="C94" i="28"/>
  <c r="F124" i="4"/>
  <c r="I7" i="4"/>
  <c r="B62" i="28"/>
  <c r="E62" i="28" s="1"/>
  <c r="F120" i="4"/>
  <c r="F133" i="4"/>
  <c r="I20" i="2"/>
  <c r="C95" i="28"/>
  <c r="C92" i="28"/>
  <c r="D64" i="28"/>
  <c r="C83" i="28"/>
  <c r="G95" i="4"/>
  <c r="C79" i="28"/>
  <c r="C85" i="28"/>
  <c r="H106" i="4"/>
  <c r="F110" i="4"/>
  <c r="F115" i="4" s="1"/>
  <c r="G137" i="4"/>
  <c r="F121" i="4"/>
  <c r="G98" i="4"/>
  <c r="G96" i="4"/>
  <c r="C81" i="28"/>
  <c r="C80" i="28"/>
  <c r="G102" i="4"/>
  <c r="G94" i="4"/>
  <c r="C82" i="28"/>
  <c r="G99" i="4"/>
  <c r="G104" i="4"/>
  <c r="G135" i="4" s="1"/>
  <c r="C87" i="28"/>
  <c r="C90" i="28"/>
  <c r="C88" i="28"/>
  <c r="C89" i="28"/>
  <c r="C84" i="28"/>
  <c r="C91" i="28"/>
  <c r="C78" i="28"/>
  <c r="C93" i="28"/>
  <c r="C86" i="28"/>
  <c r="H73" i="4"/>
  <c r="H69" i="4"/>
  <c r="H42" i="4"/>
  <c r="H80" i="4"/>
  <c r="H83" i="4"/>
  <c r="H81" i="4"/>
  <c r="H39" i="4"/>
  <c r="H89" i="4"/>
  <c r="H65" i="4"/>
  <c r="H38" i="4"/>
  <c r="H68" i="4"/>
  <c r="H41" i="4"/>
  <c r="I51" i="4"/>
  <c r="H64" i="4"/>
  <c r="H37" i="4"/>
  <c r="H67" i="4"/>
  <c r="H40" i="4"/>
  <c r="H84" i="4"/>
  <c r="H82" i="4"/>
  <c r="H74" i="4"/>
  <c r="H45" i="4"/>
  <c r="H79" i="4"/>
  <c r="I59" i="4"/>
  <c r="I49" i="4"/>
  <c r="R237" i="20"/>
  <c r="U237" i="20" s="1"/>
  <c r="AA237" i="20"/>
  <c r="R129" i="20"/>
  <c r="U129" i="20" s="1"/>
  <c r="AA129" i="20"/>
  <c r="Q111" i="20"/>
  <c r="T111" i="20" s="1"/>
  <c r="Z111" i="20"/>
  <c r="R18" i="20"/>
  <c r="U18" i="20" s="1"/>
  <c r="AA18" i="20"/>
  <c r="Q22" i="20"/>
  <c r="T22" i="20" s="1"/>
  <c r="Z22" i="20"/>
  <c r="H46" i="14"/>
  <c r="E46" i="14" s="1"/>
  <c r="I46" i="14"/>
  <c r="F46" i="14" s="1"/>
  <c r="H60" i="14"/>
  <c r="E60" i="14" s="1"/>
  <c r="I60" i="14"/>
  <c r="F60" i="14" s="1"/>
  <c r="X77" i="23"/>
  <c r="X77" i="19"/>
  <c r="S68" i="14"/>
  <c r="G69" i="14"/>
  <c r="X14" i="23"/>
  <c r="X14" i="19"/>
  <c r="S5" i="14"/>
  <c r="G6" i="14"/>
  <c r="H74" i="14"/>
  <c r="E74" i="14" s="1"/>
  <c r="I74" i="14"/>
  <c r="F74" i="14" s="1"/>
  <c r="X21" i="23"/>
  <c r="X21" i="19"/>
  <c r="S12" i="14"/>
  <c r="G13" i="14"/>
  <c r="I50" i="4"/>
  <c r="R258" i="20"/>
  <c r="U258" i="20" s="1"/>
  <c r="AA258" i="20"/>
  <c r="R98" i="20"/>
  <c r="U98" i="20" s="1"/>
  <c r="AA98" i="20"/>
  <c r="Q149" i="20"/>
  <c r="T149" i="20" s="1"/>
  <c r="Z149" i="20"/>
  <c r="R77" i="20"/>
  <c r="U77" i="20" s="1"/>
  <c r="AA77" i="20"/>
  <c r="Q127" i="20"/>
  <c r="T127" i="20" s="1"/>
  <c r="Z127" i="20"/>
  <c r="R46" i="20"/>
  <c r="U46" i="20" s="1"/>
  <c r="AA46" i="20"/>
  <c r="R214" i="20"/>
  <c r="U214" i="20" s="1"/>
  <c r="AA214" i="20"/>
  <c r="R39" i="20"/>
  <c r="U39" i="20" s="1"/>
  <c r="AA39" i="20"/>
  <c r="R121" i="20"/>
  <c r="U121" i="20" s="1"/>
  <c r="AA121" i="20"/>
  <c r="R206" i="20"/>
  <c r="U206" i="20" s="1"/>
  <c r="AA206" i="20"/>
  <c r="R33" i="20"/>
  <c r="U33" i="20" s="1"/>
  <c r="AA33" i="20"/>
  <c r="Q197" i="20"/>
  <c r="T197" i="20" s="1"/>
  <c r="Z197" i="20"/>
  <c r="R25" i="20"/>
  <c r="U25" i="20" s="1"/>
  <c r="AA25" i="20"/>
  <c r="R102" i="20"/>
  <c r="U102" i="20" s="1"/>
  <c r="AA102" i="20"/>
  <c r="R187" i="20"/>
  <c r="U187" i="20" s="1"/>
  <c r="AA187" i="20"/>
  <c r="Q18" i="20"/>
  <c r="T18" i="20" s="1"/>
  <c r="Z18" i="20"/>
  <c r="R93" i="20"/>
  <c r="U93" i="20" s="1"/>
  <c r="AA93" i="20"/>
  <c r="R178" i="20"/>
  <c r="U178" i="20" s="1"/>
  <c r="AA178" i="20"/>
  <c r="R94" i="20"/>
  <c r="U94" i="20" s="1"/>
  <c r="AA94" i="20"/>
  <c r="R179" i="20"/>
  <c r="U179" i="20" s="1"/>
  <c r="AA179" i="20"/>
  <c r="Q14" i="20"/>
  <c r="T14" i="20" s="1"/>
  <c r="Z14" i="20"/>
  <c r="Q57" i="20"/>
  <c r="T57" i="20" s="1"/>
  <c r="Z57" i="20"/>
  <c r="Q99" i="20"/>
  <c r="T99" i="20" s="1"/>
  <c r="Z99" i="20"/>
  <c r="Q142" i="20"/>
  <c r="T142" i="20" s="1"/>
  <c r="Z142" i="20"/>
  <c r="Q185" i="20"/>
  <c r="T185" i="20" s="1"/>
  <c r="Z185" i="20"/>
  <c r="Q227" i="20"/>
  <c r="T227" i="20" s="1"/>
  <c r="Z227" i="20"/>
  <c r="R15" i="20"/>
  <c r="U15" i="20" s="1"/>
  <c r="AA15" i="20"/>
  <c r="R58" i="20"/>
  <c r="U58" i="20" s="1"/>
  <c r="AA58" i="20"/>
  <c r="R101" i="20"/>
  <c r="U101" i="20" s="1"/>
  <c r="AA101" i="20"/>
  <c r="R143" i="20"/>
  <c r="U143" i="20" s="1"/>
  <c r="AA143" i="20"/>
  <c r="R186" i="20"/>
  <c r="U186" i="20" s="1"/>
  <c r="AA186" i="20"/>
  <c r="R229" i="20"/>
  <c r="U229" i="20" s="1"/>
  <c r="AA229" i="20"/>
  <c r="Q65" i="20"/>
  <c r="T65" i="20" s="1"/>
  <c r="Z65" i="20"/>
  <c r="Q107" i="20"/>
  <c r="T107" i="20" s="1"/>
  <c r="Z107" i="20"/>
  <c r="Q150" i="20"/>
  <c r="T150" i="20" s="1"/>
  <c r="Z150" i="20"/>
  <c r="Q193" i="20"/>
  <c r="T193" i="20" s="1"/>
  <c r="Z193" i="20"/>
  <c r="Q235" i="20"/>
  <c r="T235" i="20" s="1"/>
  <c r="Z235" i="20"/>
  <c r="Q71" i="20"/>
  <c r="T71" i="20" s="1"/>
  <c r="Z71" i="20"/>
  <c r="Q114" i="20"/>
  <c r="T114" i="20" s="1"/>
  <c r="Z114" i="20"/>
  <c r="Q157" i="20"/>
  <c r="T157" i="20" s="1"/>
  <c r="Z157" i="20"/>
  <c r="Q199" i="20"/>
  <c r="T199" i="20" s="1"/>
  <c r="Z199" i="20"/>
  <c r="Q242" i="20"/>
  <c r="T242" i="20" s="1"/>
  <c r="Z242" i="20"/>
  <c r="Q28" i="20"/>
  <c r="T28" i="20" s="1"/>
  <c r="Z28" i="20"/>
  <c r="Q60" i="20"/>
  <c r="T60" i="20" s="1"/>
  <c r="Z60" i="20"/>
  <c r="Q92" i="20"/>
  <c r="T92" i="20" s="1"/>
  <c r="Z92" i="20"/>
  <c r="Q124" i="20"/>
  <c r="T124" i="20" s="1"/>
  <c r="Z124" i="20"/>
  <c r="Q156" i="20"/>
  <c r="T156" i="20" s="1"/>
  <c r="Z156" i="20"/>
  <c r="Q188" i="20"/>
  <c r="T188" i="20" s="1"/>
  <c r="Z188" i="20"/>
  <c r="Q220" i="20"/>
  <c r="T220" i="20" s="1"/>
  <c r="Z220" i="20"/>
  <c r="Q252" i="20"/>
  <c r="T252" i="20" s="1"/>
  <c r="Z252" i="20"/>
  <c r="R32" i="20"/>
  <c r="U32" i="20" s="1"/>
  <c r="AA32" i="20"/>
  <c r="R64" i="20"/>
  <c r="U64" i="20" s="1"/>
  <c r="AA64" i="20"/>
  <c r="R96" i="20"/>
  <c r="U96" i="20" s="1"/>
  <c r="AA96" i="20"/>
  <c r="R128" i="20"/>
  <c r="U128" i="20" s="1"/>
  <c r="AA128" i="20"/>
  <c r="R160" i="20"/>
  <c r="U160" i="20" s="1"/>
  <c r="AA160" i="20"/>
  <c r="R192" i="20"/>
  <c r="U192" i="20" s="1"/>
  <c r="AA192" i="20"/>
  <c r="R224" i="20"/>
  <c r="U224" i="20" s="1"/>
  <c r="AA224" i="20"/>
  <c r="R256" i="20"/>
  <c r="U256" i="20" s="1"/>
  <c r="AA256" i="20"/>
  <c r="G40" i="13"/>
  <c r="D79" i="13"/>
  <c r="H32" i="14"/>
  <c r="E32" i="14" s="1"/>
  <c r="I32" i="14"/>
  <c r="F32" i="14" s="1"/>
  <c r="Q47" i="20"/>
  <c r="T47" i="20" s="1"/>
  <c r="Z47" i="20"/>
  <c r="Q223" i="20"/>
  <c r="T223" i="20" s="1"/>
  <c r="Z223" i="20"/>
  <c r="Q191" i="20"/>
  <c r="T191" i="20" s="1"/>
  <c r="Z191" i="20"/>
  <c r="Q37" i="20"/>
  <c r="T37" i="20" s="1"/>
  <c r="Z37" i="20"/>
  <c r="R119" i="20"/>
  <c r="U119" i="20" s="1"/>
  <c r="AA119" i="20"/>
  <c r="Q170" i="20"/>
  <c r="T170" i="20" s="1"/>
  <c r="Z170" i="20"/>
  <c r="Q55" i="20"/>
  <c r="T55" i="20" s="1"/>
  <c r="Z55" i="20"/>
  <c r="R139" i="20"/>
  <c r="U139" i="20" s="1"/>
  <c r="AA139" i="20"/>
  <c r="R225" i="20"/>
  <c r="U225" i="20" s="1"/>
  <c r="AA225" i="20"/>
  <c r="R49" i="20"/>
  <c r="U49" i="20" s="1"/>
  <c r="AA49" i="20"/>
  <c r="R131" i="20"/>
  <c r="U131" i="20" s="1"/>
  <c r="AA131" i="20"/>
  <c r="R217" i="20"/>
  <c r="U217" i="20" s="1"/>
  <c r="AA217" i="20"/>
  <c r="R41" i="20"/>
  <c r="U41" i="20" s="1"/>
  <c r="AA41" i="20"/>
  <c r="Q122" i="20"/>
  <c r="T122" i="20" s="1"/>
  <c r="Z122" i="20"/>
  <c r="Q207" i="20"/>
  <c r="T207" i="20" s="1"/>
  <c r="Z207" i="20"/>
  <c r="Q34" i="20"/>
  <c r="T34" i="20" s="1"/>
  <c r="Z34" i="20"/>
  <c r="R113" i="20"/>
  <c r="U113" i="20" s="1"/>
  <c r="AA113" i="20"/>
  <c r="R198" i="20"/>
  <c r="U198" i="20" s="1"/>
  <c r="AA198" i="20"/>
  <c r="Q26" i="20"/>
  <c r="T26" i="20" s="1"/>
  <c r="Z26" i="20"/>
  <c r="R103" i="20"/>
  <c r="U103" i="20" s="1"/>
  <c r="AA103" i="20"/>
  <c r="R189" i="20"/>
  <c r="U189" i="20" s="1"/>
  <c r="AA189" i="20"/>
  <c r="R27" i="20"/>
  <c r="U27" i="20" s="1"/>
  <c r="AA27" i="20"/>
  <c r="R105" i="20"/>
  <c r="U105" i="20" s="1"/>
  <c r="AA105" i="20"/>
  <c r="R190" i="20"/>
  <c r="U190" i="20" s="1"/>
  <c r="AA190" i="20"/>
  <c r="Q19" i="20"/>
  <c r="T19" i="20" s="1"/>
  <c r="Z19" i="20"/>
  <c r="Q62" i="20"/>
  <c r="T62" i="20" s="1"/>
  <c r="Z62" i="20"/>
  <c r="Q105" i="20"/>
  <c r="T105" i="20" s="1"/>
  <c r="Z105" i="20"/>
  <c r="Q147" i="20"/>
  <c r="T147" i="20" s="1"/>
  <c r="Z147" i="20"/>
  <c r="Q190" i="20"/>
  <c r="T190" i="20" s="1"/>
  <c r="Z190" i="20"/>
  <c r="Q233" i="20"/>
  <c r="T233" i="20" s="1"/>
  <c r="Z233" i="20"/>
  <c r="R21" i="20"/>
  <c r="U21" i="20" s="1"/>
  <c r="AA21" i="20"/>
  <c r="R63" i="20"/>
  <c r="U63" i="20" s="1"/>
  <c r="AA63" i="20"/>
  <c r="R106" i="20"/>
  <c r="U106" i="20" s="1"/>
  <c r="AA106" i="20"/>
  <c r="R149" i="20"/>
  <c r="U149" i="20" s="1"/>
  <c r="AA149" i="20"/>
  <c r="R191" i="20"/>
  <c r="U191" i="20" s="1"/>
  <c r="AA191" i="20"/>
  <c r="R234" i="20"/>
  <c r="U234" i="20" s="1"/>
  <c r="AA234" i="20"/>
  <c r="Q27" i="20"/>
  <c r="T27" i="20" s="1"/>
  <c r="Z27" i="20"/>
  <c r="Q70" i="20"/>
  <c r="T70" i="20" s="1"/>
  <c r="Z70" i="20"/>
  <c r="Q113" i="20"/>
  <c r="T113" i="20" s="1"/>
  <c r="Z113" i="20"/>
  <c r="Q155" i="20"/>
  <c r="T155" i="20" s="1"/>
  <c r="Z155" i="20"/>
  <c r="Q198" i="20"/>
  <c r="T198" i="20" s="1"/>
  <c r="Z198" i="20"/>
  <c r="Q241" i="20"/>
  <c r="T241" i="20" s="1"/>
  <c r="Z241" i="20"/>
  <c r="Q77" i="20"/>
  <c r="T77" i="20" s="1"/>
  <c r="Z77" i="20"/>
  <c r="Q119" i="20"/>
  <c r="T119" i="20" s="1"/>
  <c r="Z119" i="20"/>
  <c r="Q162" i="20"/>
  <c r="T162" i="20" s="1"/>
  <c r="Z162" i="20"/>
  <c r="Q205" i="20"/>
  <c r="T205" i="20" s="1"/>
  <c r="Z205" i="20"/>
  <c r="Q247" i="20"/>
  <c r="T247" i="20" s="1"/>
  <c r="Z247" i="20"/>
  <c r="Q32" i="20"/>
  <c r="T32" i="20" s="1"/>
  <c r="Z32" i="20"/>
  <c r="Q64" i="20"/>
  <c r="T64" i="20" s="1"/>
  <c r="Z64" i="20"/>
  <c r="Q96" i="20"/>
  <c r="T96" i="20" s="1"/>
  <c r="Z96" i="20"/>
  <c r="Q128" i="20"/>
  <c r="T128" i="20" s="1"/>
  <c r="Z128" i="20"/>
  <c r="Q160" i="20"/>
  <c r="T160" i="20" s="1"/>
  <c r="Z160" i="20"/>
  <c r="Q192" i="20"/>
  <c r="T192" i="20" s="1"/>
  <c r="Z192" i="20"/>
  <c r="Q224" i="20"/>
  <c r="T224" i="20" s="1"/>
  <c r="Z224" i="20"/>
  <c r="Q256" i="20"/>
  <c r="T256" i="20" s="1"/>
  <c r="Z256" i="20"/>
  <c r="R36" i="20"/>
  <c r="U36" i="20" s="1"/>
  <c r="AA36" i="20"/>
  <c r="R68" i="20"/>
  <c r="U68" i="20" s="1"/>
  <c r="AA68" i="20"/>
  <c r="R100" i="20"/>
  <c r="U100" i="20" s="1"/>
  <c r="AA100" i="20"/>
  <c r="R132" i="20"/>
  <c r="U132" i="20" s="1"/>
  <c r="AA132" i="20"/>
  <c r="R164" i="20"/>
  <c r="U164" i="20" s="1"/>
  <c r="AA164" i="20"/>
  <c r="R196" i="20"/>
  <c r="U196" i="20" s="1"/>
  <c r="AA196" i="20"/>
  <c r="R228" i="20"/>
  <c r="U228" i="20" s="1"/>
  <c r="AA228" i="20"/>
  <c r="R260" i="20"/>
  <c r="U260" i="20" s="1"/>
  <c r="AA260" i="20"/>
  <c r="H58" i="4"/>
  <c r="H44" i="4"/>
  <c r="I17" i="4"/>
  <c r="F4" i="12"/>
  <c r="E11" i="12"/>
  <c r="X42" i="23"/>
  <c r="X42" i="19"/>
  <c r="G34" i="14"/>
  <c r="S33" i="14"/>
  <c r="J6" i="4"/>
  <c r="I136" i="3"/>
  <c r="K18" i="2"/>
  <c r="H88" i="4"/>
  <c r="X56" i="23"/>
  <c r="X56" i="19"/>
  <c r="G48" i="14"/>
  <c r="S47" i="14"/>
  <c r="K107" i="4"/>
  <c r="K127" i="4" s="1"/>
  <c r="L62" i="4"/>
  <c r="F36" i="18"/>
  <c r="E38" i="18"/>
  <c r="E39" i="18" s="1"/>
  <c r="E41" i="18" s="1"/>
  <c r="I4" i="14"/>
  <c r="F4" i="14" s="1"/>
  <c r="H4" i="14"/>
  <c r="E4" i="14" s="1"/>
  <c r="X84" i="23"/>
  <c r="X84" i="19"/>
  <c r="G76" i="14"/>
  <c r="S75" i="14"/>
  <c r="I11" i="14"/>
  <c r="F11" i="14" s="1"/>
  <c r="H11" i="14"/>
  <c r="E11" i="14" s="1"/>
  <c r="R162" i="20"/>
  <c r="U162" i="20" s="1"/>
  <c r="AA162" i="20"/>
  <c r="R227" i="20"/>
  <c r="U227" i="20" s="1"/>
  <c r="AA227" i="20"/>
  <c r="R114" i="20"/>
  <c r="U114" i="20" s="1"/>
  <c r="AA114" i="20"/>
  <c r="Q238" i="20"/>
  <c r="T238" i="20" s="1"/>
  <c r="Z238" i="20"/>
  <c r="Q68" i="20"/>
  <c r="T68" i="20" s="1"/>
  <c r="Z68" i="20"/>
  <c r="H81" i="14"/>
  <c r="E81" i="14" s="1"/>
  <c r="I81" i="14"/>
  <c r="F81" i="14" s="1"/>
  <c r="R75" i="20"/>
  <c r="U75" i="20" s="1"/>
  <c r="AA75" i="20"/>
  <c r="Q143" i="20"/>
  <c r="T143" i="20" s="1"/>
  <c r="Z143" i="20"/>
  <c r="R125" i="20"/>
  <c r="U125" i="20" s="1"/>
  <c r="AA125" i="20"/>
  <c r="Q73" i="20"/>
  <c r="T73" i="20" s="1"/>
  <c r="Z73" i="20"/>
  <c r="R74" i="20"/>
  <c r="U74" i="20" s="1"/>
  <c r="AA74" i="20"/>
  <c r="R245" i="20"/>
  <c r="U245" i="20" s="1"/>
  <c r="AA245" i="20"/>
  <c r="Q209" i="20"/>
  <c r="T209" i="20" s="1"/>
  <c r="Z209" i="20"/>
  <c r="Q173" i="20"/>
  <c r="T173" i="20" s="1"/>
  <c r="Z173" i="20"/>
  <c r="Q258" i="20"/>
  <c r="T258" i="20" s="1"/>
  <c r="Z258" i="20"/>
  <c r="Q136" i="20"/>
  <c r="T136" i="20" s="1"/>
  <c r="Z136" i="20"/>
  <c r="Q168" i="20"/>
  <c r="T168" i="20" s="1"/>
  <c r="Z168" i="20"/>
  <c r="Q232" i="20"/>
  <c r="T232" i="20" s="1"/>
  <c r="Z232" i="20"/>
  <c r="R12" i="20"/>
  <c r="U12" i="20" s="1"/>
  <c r="AA12" i="20"/>
  <c r="R44" i="20"/>
  <c r="U44" i="20" s="1"/>
  <c r="AA44" i="20"/>
  <c r="R76" i="20"/>
  <c r="U76" i="20" s="1"/>
  <c r="AA76" i="20"/>
  <c r="R108" i="20"/>
  <c r="U108" i="20" s="1"/>
  <c r="AA108" i="20"/>
  <c r="R172" i="20"/>
  <c r="U172" i="20" s="1"/>
  <c r="AA172" i="20"/>
  <c r="H137" i="4"/>
  <c r="H126" i="4"/>
  <c r="G103" i="4"/>
  <c r="G134" i="4" s="1"/>
  <c r="X91" i="23"/>
  <c r="X91" i="19"/>
  <c r="S82" i="14"/>
  <c r="G83" i="14"/>
  <c r="I103" i="3"/>
  <c r="J5" i="4"/>
  <c r="K17" i="2"/>
  <c r="X63" i="23"/>
  <c r="X63" i="19"/>
  <c r="G55" i="14"/>
  <c r="S54" i="14"/>
  <c r="I39" i="14"/>
  <c r="F39" i="14" s="1"/>
  <c r="H39" i="14"/>
  <c r="E39" i="14" s="1"/>
  <c r="K4" i="4"/>
  <c r="J70" i="3"/>
  <c r="L16" i="2"/>
  <c r="F2" i="12"/>
  <c r="E9" i="12"/>
  <c r="F132" i="4"/>
  <c r="Q74" i="20"/>
  <c r="T74" i="20" s="1"/>
  <c r="Z74" i="20"/>
  <c r="R235" i="20"/>
  <c r="U235" i="20" s="1"/>
  <c r="AA235" i="20"/>
  <c r="Q218" i="20"/>
  <c r="T218" i="20" s="1"/>
  <c r="Z218" i="20"/>
  <c r="R34" i="20"/>
  <c r="U34" i="20" s="1"/>
  <c r="AA34" i="20"/>
  <c r="R115" i="20"/>
  <c r="U115" i="20" s="1"/>
  <c r="AA115" i="20"/>
  <c r="Q153" i="20"/>
  <c r="T153" i="20" s="1"/>
  <c r="Z153" i="20"/>
  <c r="R154" i="20"/>
  <c r="U154" i="20" s="1"/>
  <c r="AA154" i="20"/>
  <c r="Q118" i="20"/>
  <c r="T118" i="20" s="1"/>
  <c r="Z118" i="20"/>
  <c r="Q125" i="20"/>
  <c r="T125" i="20" s="1"/>
  <c r="Z125" i="20"/>
  <c r="Q196" i="20"/>
  <c r="T196" i="20" s="1"/>
  <c r="Z196" i="20"/>
  <c r="H34" i="4"/>
  <c r="H87" i="4" s="1"/>
  <c r="G166" i="3"/>
  <c r="I54" i="4"/>
  <c r="R87" i="20"/>
  <c r="U87" i="20" s="1"/>
  <c r="AA87" i="20"/>
  <c r="R30" i="20"/>
  <c r="U30" i="20" s="1"/>
  <c r="AA30" i="20"/>
  <c r="R161" i="20"/>
  <c r="U161" i="20" s="1"/>
  <c r="AA161" i="20"/>
  <c r="R238" i="20"/>
  <c r="U238" i="20" s="1"/>
  <c r="AA238" i="20"/>
  <c r="R219" i="20"/>
  <c r="U219" i="20" s="1"/>
  <c r="AA219" i="20"/>
  <c r="Q115" i="20"/>
  <c r="T115" i="20" s="1"/>
  <c r="Z115" i="20"/>
  <c r="Q81" i="20"/>
  <c r="T81" i="20" s="1"/>
  <c r="Z81" i="20"/>
  <c r="R140" i="20"/>
  <c r="U140" i="20" s="1"/>
  <c r="AA140" i="20"/>
  <c r="R183" i="20"/>
  <c r="U183" i="20" s="1"/>
  <c r="AA183" i="20"/>
  <c r="R249" i="20"/>
  <c r="U249" i="20" s="1"/>
  <c r="AA249" i="20"/>
  <c r="R59" i="20"/>
  <c r="U59" i="20" s="1"/>
  <c r="AA59" i="20"/>
  <c r="R51" i="20"/>
  <c r="U51" i="20" s="1"/>
  <c r="AA51" i="20"/>
  <c r="R135" i="20"/>
  <c r="U135" i="20" s="1"/>
  <c r="AA135" i="20"/>
  <c r="R221" i="20"/>
  <c r="U221" i="20" s="1"/>
  <c r="AA221" i="20"/>
  <c r="Q53" i="20"/>
  <c r="T53" i="20" s="1"/>
  <c r="Z53" i="20"/>
  <c r="R137" i="20"/>
  <c r="U137" i="20" s="1"/>
  <c r="AA137" i="20"/>
  <c r="R222" i="20"/>
  <c r="U222" i="20" s="1"/>
  <c r="AA222" i="20"/>
  <c r="Q35" i="20"/>
  <c r="T35" i="20" s="1"/>
  <c r="Z35" i="20"/>
  <c r="Q163" i="20"/>
  <c r="T163" i="20" s="1"/>
  <c r="Z163" i="20"/>
  <c r="Q206" i="20"/>
  <c r="T206" i="20" s="1"/>
  <c r="Z206" i="20"/>
  <c r="Q249" i="20"/>
  <c r="T249" i="20" s="1"/>
  <c r="Z249" i="20"/>
  <c r="R37" i="20"/>
  <c r="U37" i="20" s="1"/>
  <c r="AA37" i="20"/>
  <c r="R79" i="20"/>
  <c r="U79" i="20" s="1"/>
  <c r="AA79" i="20"/>
  <c r="R122" i="20"/>
  <c r="U122" i="20" s="1"/>
  <c r="AA122" i="20"/>
  <c r="R165" i="20"/>
  <c r="U165" i="20" s="1"/>
  <c r="AA165" i="20"/>
  <c r="R207" i="20"/>
  <c r="U207" i="20" s="1"/>
  <c r="AA207" i="20"/>
  <c r="R250" i="20"/>
  <c r="U250" i="20" s="1"/>
  <c r="AA250" i="20"/>
  <c r="Q43" i="20"/>
  <c r="T43" i="20" s="1"/>
  <c r="Z43" i="20"/>
  <c r="Q86" i="20"/>
  <c r="T86" i="20" s="1"/>
  <c r="Z86" i="20"/>
  <c r="Q129" i="20"/>
  <c r="T129" i="20" s="1"/>
  <c r="Z129" i="20"/>
  <c r="Q171" i="20"/>
  <c r="T171" i="20" s="1"/>
  <c r="Z171" i="20"/>
  <c r="Q214" i="20"/>
  <c r="T214" i="20" s="1"/>
  <c r="Z214" i="20"/>
  <c r="Q257" i="20"/>
  <c r="T257" i="20" s="1"/>
  <c r="Z257" i="20"/>
  <c r="Q93" i="20"/>
  <c r="T93" i="20" s="1"/>
  <c r="Z93" i="20"/>
  <c r="Q135" i="20"/>
  <c r="T135" i="20" s="1"/>
  <c r="Z135" i="20"/>
  <c r="Q178" i="20"/>
  <c r="T178" i="20" s="1"/>
  <c r="Z178" i="20"/>
  <c r="Q221" i="20"/>
  <c r="T221" i="20" s="1"/>
  <c r="Z221" i="20"/>
  <c r="Q12" i="20"/>
  <c r="T12" i="20" s="1"/>
  <c r="Z12" i="20"/>
  <c r="Q44" i="20"/>
  <c r="T44" i="20" s="1"/>
  <c r="Z44" i="20"/>
  <c r="Q76" i="20"/>
  <c r="T76" i="20" s="1"/>
  <c r="Z76" i="20"/>
  <c r="Q108" i="20"/>
  <c r="T108" i="20" s="1"/>
  <c r="Z108" i="20"/>
  <c r="Q140" i="20"/>
  <c r="T140" i="20" s="1"/>
  <c r="Z140" i="20"/>
  <c r="Q172" i="20"/>
  <c r="T172" i="20" s="1"/>
  <c r="Z172" i="20"/>
  <c r="Q204" i="20"/>
  <c r="T204" i="20" s="1"/>
  <c r="Z204" i="20"/>
  <c r="Q236" i="20"/>
  <c r="T236" i="20" s="1"/>
  <c r="Z236" i="20"/>
  <c r="R16" i="20"/>
  <c r="U16" i="20" s="1"/>
  <c r="AA16" i="20"/>
  <c r="R48" i="20"/>
  <c r="U48" i="20" s="1"/>
  <c r="AA48" i="20"/>
  <c r="R80" i="20"/>
  <c r="U80" i="20" s="1"/>
  <c r="AA80" i="20"/>
  <c r="R112" i="20"/>
  <c r="U112" i="20" s="1"/>
  <c r="AA112" i="20"/>
  <c r="R144" i="20"/>
  <c r="U144" i="20" s="1"/>
  <c r="AA144" i="20"/>
  <c r="R176" i="20"/>
  <c r="U176" i="20" s="1"/>
  <c r="AA176" i="20"/>
  <c r="R208" i="20"/>
  <c r="U208" i="20" s="1"/>
  <c r="AA208" i="20"/>
  <c r="R240" i="20"/>
  <c r="U240" i="20" s="1"/>
  <c r="AA240" i="20"/>
  <c r="H66" i="4"/>
  <c r="H117" i="3"/>
  <c r="H106" i="3"/>
  <c r="H122" i="3" s="1"/>
  <c r="I21" i="4" s="1"/>
  <c r="H113" i="3"/>
  <c r="H129" i="3" s="1"/>
  <c r="H112" i="3"/>
  <c r="H128" i="3" s="1"/>
  <c r="H109" i="3"/>
  <c r="H125" i="3" s="1"/>
  <c r="H108" i="3"/>
  <c r="H124" i="3" s="1"/>
  <c r="H110" i="3"/>
  <c r="H126" i="3" s="1"/>
  <c r="I23" i="4" s="1"/>
  <c r="H105" i="3"/>
  <c r="H121" i="3" s="1"/>
  <c r="I20" i="4" s="1"/>
  <c r="H104" i="3"/>
  <c r="H120" i="3" s="1"/>
  <c r="I19" i="4" s="1"/>
  <c r="H111" i="3"/>
  <c r="H127" i="3" s="1"/>
  <c r="I24" i="4" s="1"/>
  <c r="H116" i="3"/>
  <c r="H132" i="3" s="1"/>
  <c r="H107" i="3"/>
  <c r="H123" i="3" s="1"/>
  <c r="I22" i="4" s="1"/>
  <c r="H114" i="3"/>
  <c r="H130" i="3" s="1"/>
  <c r="I26" i="4" s="1"/>
  <c r="H115" i="3"/>
  <c r="H131" i="3" s="1"/>
  <c r="I27" i="4" s="1"/>
  <c r="E10" i="12"/>
  <c r="F3" i="12"/>
  <c r="L51" i="5"/>
  <c r="K55" i="5"/>
  <c r="X49" i="23"/>
  <c r="X49" i="19"/>
  <c r="S40" i="14"/>
  <c r="G41" i="14"/>
  <c r="H41" i="3"/>
  <c r="H39" i="3"/>
  <c r="H48" i="3"/>
  <c r="H49" i="3"/>
  <c r="H50" i="3"/>
  <c r="H46" i="3"/>
  <c r="H51" i="3"/>
  <c r="H40" i="3"/>
  <c r="H44" i="3"/>
  <c r="H38" i="3"/>
  <c r="H45" i="3"/>
  <c r="H47" i="3"/>
  <c r="H43" i="3"/>
  <c r="H42" i="3"/>
  <c r="O63" i="4"/>
  <c r="R55" i="20"/>
  <c r="U55" i="20" s="1"/>
  <c r="AA55" i="20"/>
  <c r="R19" i="20"/>
  <c r="U19" i="20" s="1"/>
  <c r="AA19" i="20"/>
  <c r="Q213" i="20"/>
  <c r="T213" i="20" s="1"/>
  <c r="Z213" i="20"/>
  <c r="R57" i="20"/>
  <c r="U57" i="20" s="1"/>
  <c r="AA57" i="20"/>
  <c r="Q133" i="20"/>
  <c r="T133" i="20" s="1"/>
  <c r="Z133" i="20"/>
  <c r="R209" i="20"/>
  <c r="U209" i="20" s="1"/>
  <c r="AA209" i="20"/>
  <c r="R35" i="20"/>
  <c r="U35" i="20" s="1"/>
  <c r="AA35" i="20"/>
  <c r="R201" i="20"/>
  <c r="U201" i="20" s="1"/>
  <c r="AA201" i="20"/>
  <c r="Q110" i="20"/>
  <c r="T110" i="20" s="1"/>
  <c r="Z110" i="20"/>
  <c r="R26" i="20"/>
  <c r="U26" i="20" s="1"/>
  <c r="AA26" i="20"/>
  <c r="R197" i="20"/>
  <c r="U197" i="20" s="1"/>
  <c r="AA197" i="20"/>
  <c r="Q33" i="20"/>
  <c r="T33" i="20" s="1"/>
  <c r="Z33" i="20"/>
  <c r="Q161" i="20"/>
  <c r="T161" i="20" s="1"/>
  <c r="Z161" i="20"/>
  <c r="Q246" i="20"/>
  <c r="T246" i="20" s="1"/>
  <c r="Z246" i="20"/>
  <c r="Q210" i="20"/>
  <c r="T210" i="20" s="1"/>
  <c r="Z210" i="20"/>
  <c r="Q164" i="20"/>
  <c r="T164" i="20" s="1"/>
  <c r="Z164" i="20"/>
  <c r="R168" i="20"/>
  <c r="U168" i="20" s="1"/>
  <c r="AA168" i="20"/>
  <c r="R205" i="20"/>
  <c r="U205" i="20" s="1"/>
  <c r="AA205" i="20"/>
  <c r="Q58" i="20"/>
  <c r="T58" i="20" s="1"/>
  <c r="Z58" i="20"/>
  <c r="R210" i="20"/>
  <c r="U210" i="20" s="1"/>
  <c r="AA210" i="20"/>
  <c r="Q201" i="20"/>
  <c r="T201" i="20" s="1"/>
  <c r="Z201" i="20"/>
  <c r="R202" i="20"/>
  <c r="U202" i="20" s="1"/>
  <c r="AA202" i="20"/>
  <c r="Q40" i="20"/>
  <c r="T40" i="20" s="1"/>
  <c r="Z40" i="20"/>
  <c r="O55" i="4"/>
  <c r="R226" i="20"/>
  <c r="U226" i="20" s="1"/>
  <c r="AA226" i="20"/>
  <c r="Q13" i="20"/>
  <c r="T13" i="20" s="1"/>
  <c r="Z13" i="20"/>
  <c r="R78" i="20"/>
  <c r="U78" i="20" s="1"/>
  <c r="AA78" i="20"/>
  <c r="R145" i="20"/>
  <c r="U145" i="20" s="1"/>
  <c r="AA145" i="20"/>
  <c r="R11" i="20"/>
  <c r="U11" i="20" s="1"/>
  <c r="AA11" i="20"/>
  <c r="R89" i="20"/>
  <c r="U89" i="20" s="1"/>
  <c r="AA89" i="20"/>
  <c r="Q79" i="20"/>
  <c r="T79" i="20" s="1"/>
  <c r="Z79" i="20"/>
  <c r="Q165" i="20"/>
  <c r="T165" i="20" s="1"/>
  <c r="Z165" i="20"/>
  <c r="R155" i="20"/>
  <c r="U155" i="20" s="1"/>
  <c r="AA155" i="20"/>
  <c r="R241" i="20"/>
  <c r="U241" i="20" s="1"/>
  <c r="AA241" i="20"/>
  <c r="R61" i="20"/>
  <c r="U61" i="20" s="1"/>
  <c r="AA61" i="20"/>
  <c r="R146" i="20"/>
  <c r="U146" i="20" s="1"/>
  <c r="AA146" i="20"/>
  <c r="R231" i="20"/>
  <c r="U231" i="20" s="1"/>
  <c r="AA231" i="20"/>
  <c r="R62" i="20"/>
  <c r="U62" i="20" s="1"/>
  <c r="AA62" i="20"/>
  <c r="R147" i="20"/>
  <c r="U147" i="20" s="1"/>
  <c r="AA147" i="20"/>
  <c r="R233" i="20"/>
  <c r="U233" i="20" s="1"/>
  <c r="AA233" i="20"/>
  <c r="Q41" i="20"/>
  <c r="T41" i="20" s="1"/>
  <c r="Z41" i="20"/>
  <c r="Q83" i="20"/>
  <c r="T83" i="20" s="1"/>
  <c r="Z83" i="20"/>
  <c r="Q126" i="20"/>
  <c r="T126" i="20" s="1"/>
  <c r="Z126" i="20"/>
  <c r="Q169" i="20"/>
  <c r="T169" i="20" s="1"/>
  <c r="Z169" i="20"/>
  <c r="Q211" i="20"/>
  <c r="T211" i="20" s="1"/>
  <c r="Z211" i="20"/>
  <c r="Q254" i="20"/>
  <c r="T254" i="20" s="1"/>
  <c r="Z254" i="20"/>
  <c r="R42" i="20"/>
  <c r="U42" i="20" s="1"/>
  <c r="AA42" i="20"/>
  <c r="R85" i="20"/>
  <c r="U85" i="20" s="1"/>
  <c r="AA85" i="20"/>
  <c r="R127" i="20"/>
  <c r="U127" i="20" s="1"/>
  <c r="AA127" i="20"/>
  <c r="R170" i="20"/>
  <c r="U170" i="20" s="1"/>
  <c r="AA170" i="20"/>
  <c r="R213" i="20"/>
  <c r="U213" i="20" s="1"/>
  <c r="AA213" i="20"/>
  <c r="R255" i="20"/>
  <c r="U255" i="20" s="1"/>
  <c r="AA255" i="20"/>
  <c r="Q49" i="20"/>
  <c r="T49" i="20" s="1"/>
  <c r="Z49" i="20"/>
  <c r="Q91" i="20"/>
  <c r="T91" i="20" s="1"/>
  <c r="Z91" i="20"/>
  <c r="Q134" i="20"/>
  <c r="T134" i="20" s="1"/>
  <c r="Z134" i="20"/>
  <c r="Q177" i="20"/>
  <c r="T177" i="20" s="1"/>
  <c r="Z177" i="20"/>
  <c r="Q219" i="20"/>
  <c r="T219" i="20" s="1"/>
  <c r="Z219" i="20"/>
  <c r="Q262" i="20"/>
  <c r="T262" i="20" s="1"/>
  <c r="Z262" i="20"/>
  <c r="Q98" i="20"/>
  <c r="T98" i="20" s="1"/>
  <c r="Z98" i="20"/>
  <c r="Q141" i="20"/>
  <c r="T141" i="20" s="1"/>
  <c r="Z141" i="20"/>
  <c r="Q183" i="20"/>
  <c r="T183" i="20" s="1"/>
  <c r="Z183" i="20"/>
  <c r="Q226" i="20"/>
  <c r="T226" i="20" s="1"/>
  <c r="Z226" i="20"/>
  <c r="Q16" i="20"/>
  <c r="T16" i="20" s="1"/>
  <c r="Z16" i="20"/>
  <c r="Q48" i="20"/>
  <c r="T48" i="20" s="1"/>
  <c r="Z48" i="20"/>
  <c r="Q80" i="20"/>
  <c r="T80" i="20" s="1"/>
  <c r="Z80" i="20"/>
  <c r="Q112" i="20"/>
  <c r="T112" i="20" s="1"/>
  <c r="Z112" i="20"/>
  <c r="Q144" i="20"/>
  <c r="T144" i="20" s="1"/>
  <c r="Z144" i="20"/>
  <c r="Q176" i="20"/>
  <c r="T176" i="20" s="1"/>
  <c r="Z176" i="20"/>
  <c r="Q208" i="20"/>
  <c r="T208" i="20" s="1"/>
  <c r="Z208" i="20"/>
  <c r="Q240" i="20"/>
  <c r="T240" i="20" s="1"/>
  <c r="Z240" i="20"/>
  <c r="R20" i="20"/>
  <c r="U20" i="20" s="1"/>
  <c r="AA20" i="20"/>
  <c r="R52" i="20"/>
  <c r="U52" i="20" s="1"/>
  <c r="AA52" i="20"/>
  <c r="R84" i="20"/>
  <c r="U84" i="20" s="1"/>
  <c r="AA84" i="20"/>
  <c r="R116" i="20"/>
  <c r="U116" i="20" s="1"/>
  <c r="AA116" i="20"/>
  <c r="R148" i="20"/>
  <c r="U148" i="20" s="1"/>
  <c r="AA148" i="20"/>
  <c r="R180" i="20"/>
  <c r="U180" i="20" s="1"/>
  <c r="AA180" i="20"/>
  <c r="R212" i="20"/>
  <c r="U212" i="20" s="1"/>
  <c r="AA212" i="20"/>
  <c r="R244" i="20"/>
  <c r="U244" i="20" s="1"/>
  <c r="AA244" i="20"/>
  <c r="G46" i="3"/>
  <c r="G62" i="3" s="1"/>
  <c r="G51" i="3"/>
  <c r="G67" i="3" s="1"/>
  <c r="G50" i="3"/>
  <c r="G66" i="3" s="1"/>
  <c r="G49" i="3"/>
  <c r="G65" i="3" s="1"/>
  <c r="G38" i="3"/>
  <c r="G54" i="3" s="1"/>
  <c r="G47" i="3"/>
  <c r="G63" i="3" s="1"/>
  <c r="G48" i="3"/>
  <c r="G64" i="3" s="1"/>
  <c r="G40" i="3"/>
  <c r="G56" i="3" s="1"/>
  <c r="G43" i="3"/>
  <c r="G59" i="3" s="1"/>
  <c r="G44" i="3"/>
  <c r="G60" i="3" s="1"/>
  <c r="G41" i="3"/>
  <c r="G57" i="3" s="1"/>
  <c r="G39" i="3"/>
  <c r="G55" i="3" s="1"/>
  <c r="G42" i="3"/>
  <c r="G58" i="3" s="1"/>
  <c r="G45" i="3"/>
  <c r="G61" i="3" s="1"/>
  <c r="H18" i="14"/>
  <c r="E18" i="14" s="1"/>
  <c r="I18" i="14"/>
  <c r="F18" i="14" s="1"/>
  <c r="G133" i="3"/>
  <c r="H25" i="4"/>
  <c r="H72" i="4" s="1"/>
  <c r="K78" i="4"/>
  <c r="J108" i="4"/>
  <c r="J128" i="4" s="1"/>
  <c r="I106" i="4"/>
  <c r="K85" i="4"/>
  <c r="J100" i="4"/>
  <c r="J136" i="4" s="1"/>
  <c r="L3" i="14"/>
  <c r="E3" i="14"/>
  <c r="J19" i="2"/>
  <c r="R54" i="20"/>
  <c r="U54" i="20" s="1"/>
  <c r="AA54" i="20"/>
  <c r="R150" i="20"/>
  <c r="U150" i="20" s="1"/>
  <c r="AA150" i="20"/>
  <c r="Q42" i="20"/>
  <c r="T42" i="20" s="1"/>
  <c r="Z42" i="20"/>
  <c r="Q25" i="20"/>
  <c r="T25" i="20" s="1"/>
  <c r="Z25" i="20"/>
  <c r="Q195" i="20"/>
  <c r="T195" i="20" s="1"/>
  <c r="Z195" i="20"/>
  <c r="R111" i="20"/>
  <c r="U111" i="20" s="1"/>
  <c r="AA111" i="20"/>
  <c r="R239" i="20"/>
  <c r="U239" i="20" s="1"/>
  <c r="AA239" i="20"/>
  <c r="Q203" i="20"/>
  <c r="T203" i="20" s="1"/>
  <c r="Z203" i="20"/>
  <c r="Q167" i="20"/>
  <c r="T167" i="20" s="1"/>
  <c r="Z167" i="20"/>
  <c r="Q36" i="20"/>
  <c r="T36" i="20" s="1"/>
  <c r="Z36" i="20"/>
  <c r="Q100" i="20"/>
  <c r="T100" i="20" s="1"/>
  <c r="Z100" i="20"/>
  <c r="Q228" i="20"/>
  <c r="T228" i="20" s="1"/>
  <c r="Z228" i="20"/>
  <c r="R40" i="20"/>
  <c r="U40" i="20" s="1"/>
  <c r="AA40" i="20"/>
  <c r="R72" i="20"/>
  <c r="U72" i="20" s="1"/>
  <c r="AA72" i="20"/>
  <c r="R136" i="20"/>
  <c r="U136" i="20" s="1"/>
  <c r="AA136" i="20"/>
  <c r="R200" i="20"/>
  <c r="U200" i="20" s="1"/>
  <c r="AA200" i="20"/>
  <c r="I53" i="14"/>
  <c r="F53" i="14" s="1"/>
  <c r="H53" i="14"/>
  <c r="E53" i="14" s="1"/>
  <c r="Q138" i="20"/>
  <c r="T138" i="20" s="1"/>
  <c r="Z138" i="20"/>
  <c r="R130" i="20"/>
  <c r="U130" i="20" s="1"/>
  <c r="AA130" i="20"/>
  <c r="Q255" i="20"/>
  <c r="T255" i="20" s="1"/>
  <c r="Z255" i="20"/>
  <c r="R246" i="20"/>
  <c r="U246" i="20" s="1"/>
  <c r="AA246" i="20"/>
  <c r="R153" i="20"/>
  <c r="U153" i="20" s="1"/>
  <c r="AA153" i="20"/>
  <c r="Q229" i="20"/>
  <c r="T229" i="20" s="1"/>
  <c r="Z229" i="20"/>
  <c r="R134" i="20"/>
  <c r="U134" i="20" s="1"/>
  <c r="AA134" i="20"/>
  <c r="Q45" i="20"/>
  <c r="T45" i="20" s="1"/>
  <c r="Z45" i="20"/>
  <c r="R126" i="20"/>
  <c r="U126" i="20" s="1"/>
  <c r="AA126" i="20"/>
  <c r="R211" i="20"/>
  <c r="U211" i="20" s="1"/>
  <c r="AA211" i="20"/>
  <c r="Q158" i="20"/>
  <c r="T158" i="20" s="1"/>
  <c r="Z158" i="20"/>
  <c r="R117" i="20"/>
  <c r="U117" i="20" s="1"/>
  <c r="AA117" i="20"/>
  <c r="Q38" i="20"/>
  <c r="T38" i="20" s="1"/>
  <c r="Z38" i="20"/>
  <c r="Q166" i="20"/>
  <c r="T166" i="20" s="1"/>
  <c r="Z166" i="20"/>
  <c r="Q251" i="20"/>
  <c r="T251" i="20" s="1"/>
  <c r="Z251" i="20"/>
  <c r="Q130" i="20"/>
  <c r="T130" i="20" s="1"/>
  <c r="Z130" i="20"/>
  <c r="Q215" i="20"/>
  <c r="T215" i="20" s="1"/>
  <c r="Z215" i="20"/>
  <c r="Q72" i="20"/>
  <c r="T72" i="20" s="1"/>
  <c r="Z72" i="20"/>
  <c r="Q200" i="20"/>
  <c r="T200" i="20" s="1"/>
  <c r="Z200" i="20"/>
  <c r="R204" i="20"/>
  <c r="U204" i="20" s="1"/>
  <c r="AA204" i="20"/>
  <c r="R141" i="20"/>
  <c r="U141" i="20" s="1"/>
  <c r="AA141" i="20"/>
  <c r="Q159" i="20"/>
  <c r="T159" i="20" s="1"/>
  <c r="Z159" i="20"/>
  <c r="R171" i="20"/>
  <c r="U171" i="20" s="1"/>
  <c r="AA171" i="20"/>
  <c r="Q69" i="20"/>
  <c r="T69" i="20" s="1"/>
  <c r="Z69" i="20"/>
  <c r="Q154" i="20"/>
  <c r="T154" i="20" s="1"/>
  <c r="Z154" i="20"/>
  <c r="R230" i="20"/>
  <c r="U230" i="20" s="1"/>
  <c r="AA230" i="20"/>
  <c r="Q78" i="20"/>
  <c r="T78" i="20" s="1"/>
  <c r="Z78" i="20"/>
  <c r="R173" i="20"/>
  <c r="U173" i="20" s="1"/>
  <c r="AA173" i="20"/>
  <c r="Q29" i="20"/>
  <c r="T29" i="20" s="1"/>
  <c r="Z29" i="20"/>
  <c r="Q202" i="20"/>
  <c r="T202" i="20" s="1"/>
  <c r="Z202" i="20"/>
  <c r="Q21" i="20"/>
  <c r="T21" i="20" s="1"/>
  <c r="Z21" i="20"/>
  <c r="R97" i="20"/>
  <c r="U97" i="20" s="1"/>
  <c r="AA97" i="20"/>
  <c r="R182" i="20"/>
  <c r="U182" i="20" s="1"/>
  <c r="AA182" i="20"/>
  <c r="R174" i="20"/>
  <c r="U174" i="20" s="1"/>
  <c r="AA174" i="20"/>
  <c r="R259" i="20"/>
  <c r="U259" i="20" s="1"/>
  <c r="AA259" i="20"/>
  <c r="R70" i="20"/>
  <c r="U70" i="20" s="1"/>
  <c r="AA70" i="20"/>
  <c r="Q181" i="20"/>
  <c r="T181" i="20" s="1"/>
  <c r="Z181" i="20"/>
  <c r="R215" i="20"/>
  <c r="U215" i="20" s="1"/>
  <c r="AA215" i="20"/>
  <c r="Q63" i="20"/>
  <c r="T63" i="20" s="1"/>
  <c r="Z63" i="20"/>
  <c r="R151" i="20"/>
  <c r="U151" i="20" s="1"/>
  <c r="AA151" i="20"/>
  <c r="Q245" i="20"/>
  <c r="T245" i="20" s="1"/>
  <c r="Z245" i="20"/>
  <c r="R45" i="20"/>
  <c r="U45" i="20" s="1"/>
  <c r="AA45" i="20"/>
  <c r="R29" i="20"/>
  <c r="U29" i="20" s="1"/>
  <c r="AA29" i="20"/>
  <c r="R107" i="20"/>
  <c r="U107" i="20" s="1"/>
  <c r="AA107" i="20"/>
  <c r="R193" i="20"/>
  <c r="U193" i="20" s="1"/>
  <c r="AA193" i="20"/>
  <c r="Q23" i="20"/>
  <c r="T23" i="20" s="1"/>
  <c r="Z23" i="20"/>
  <c r="R99" i="20"/>
  <c r="U99" i="20" s="1"/>
  <c r="AA99" i="20"/>
  <c r="R185" i="20"/>
  <c r="U185" i="20" s="1"/>
  <c r="AA185" i="20"/>
  <c r="Q15" i="20"/>
  <c r="T15" i="20" s="1"/>
  <c r="Z15" i="20"/>
  <c r="Q90" i="20"/>
  <c r="T90" i="20" s="1"/>
  <c r="Z90" i="20"/>
  <c r="Q175" i="20"/>
  <c r="T175" i="20" s="1"/>
  <c r="Z175" i="20"/>
  <c r="Q261" i="20"/>
  <c r="T261" i="20" s="1"/>
  <c r="Z261" i="20"/>
  <c r="R81" i="20"/>
  <c r="U81" i="20" s="1"/>
  <c r="AA81" i="20"/>
  <c r="R166" i="20"/>
  <c r="U166" i="20" s="1"/>
  <c r="AA166" i="20"/>
  <c r="R251" i="20"/>
  <c r="U251" i="20" s="1"/>
  <c r="AA251" i="20"/>
  <c r="R71" i="20"/>
  <c r="U71" i="20" s="1"/>
  <c r="AA71" i="20"/>
  <c r="R157" i="20"/>
  <c r="U157" i="20" s="1"/>
  <c r="AA157" i="20"/>
  <c r="R242" i="20"/>
  <c r="U242" i="20" s="1"/>
  <c r="AA242" i="20"/>
  <c r="R73" i="20"/>
  <c r="U73" i="20" s="1"/>
  <c r="AA73" i="20"/>
  <c r="R158" i="20"/>
  <c r="U158" i="20" s="1"/>
  <c r="AA158" i="20"/>
  <c r="R243" i="20"/>
  <c r="U243" i="20" s="1"/>
  <c r="AA243" i="20"/>
  <c r="Q46" i="20"/>
  <c r="T46" i="20" s="1"/>
  <c r="Z46" i="20"/>
  <c r="Q89" i="20"/>
  <c r="T89" i="20" s="1"/>
  <c r="Z89" i="20"/>
  <c r="Q131" i="20"/>
  <c r="T131" i="20" s="1"/>
  <c r="Z131" i="20"/>
  <c r="Q174" i="20"/>
  <c r="T174" i="20" s="1"/>
  <c r="Z174" i="20"/>
  <c r="Q217" i="20"/>
  <c r="T217" i="20" s="1"/>
  <c r="Z217" i="20"/>
  <c r="Q259" i="20"/>
  <c r="T259" i="20" s="1"/>
  <c r="Z259" i="20"/>
  <c r="R47" i="20"/>
  <c r="U47" i="20" s="1"/>
  <c r="AA47" i="20"/>
  <c r="R90" i="20"/>
  <c r="U90" i="20" s="1"/>
  <c r="AA90" i="20"/>
  <c r="R133" i="20"/>
  <c r="U133" i="20" s="1"/>
  <c r="AA133" i="20"/>
  <c r="R175" i="20"/>
  <c r="U175" i="20" s="1"/>
  <c r="AA175" i="20"/>
  <c r="R218" i="20"/>
  <c r="U218" i="20" s="1"/>
  <c r="AA218" i="20"/>
  <c r="R261" i="20"/>
  <c r="U261" i="20" s="1"/>
  <c r="AA261" i="20"/>
  <c r="Q54" i="20"/>
  <c r="T54" i="20" s="1"/>
  <c r="Z54" i="20"/>
  <c r="Q97" i="20"/>
  <c r="T97" i="20" s="1"/>
  <c r="Z97" i="20"/>
  <c r="Q139" i="20"/>
  <c r="T139" i="20" s="1"/>
  <c r="Z139" i="20"/>
  <c r="Q182" i="20"/>
  <c r="T182" i="20" s="1"/>
  <c r="Z182" i="20"/>
  <c r="Q225" i="20"/>
  <c r="T225" i="20" s="1"/>
  <c r="Z225" i="20"/>
  <c r="Q61" i="20"/>
  <c r="T61" i="20" s="1"/>
  <c r="Z61" i="20"/>
  <c r="Q103" i="20"/>
  <c r="T103" i="20" s="1"/>
  <c r="Z103" i="20"/>
  <c r="Q146" i="20"/>
  <c r="T146" i="20" s="1"/>
  <c r="Z146" i="20"/>
  <c r="Q189" i="20"/>
  <c r="T189" i="20" s="1"/>
  <c r="Z189" i="20"/>
  <c r="Q231" i="20"/>
  <c r="T231" i="20" s="1"/>
  <c r="Z231" i="20"/>
  <c r="Q20" i="20"/>
  <c r="T20" i="20" s="1"/>
  <c r="Z20" i="20"/>
  <c r="Q52" i="20"/>
  <c r="T52" i="20" s="1"/>
  <c r="Z52" i="20"/>
  <c r="Q84" i="20"/>
  <c r="T84" i="20" s="1"/>
  <c r="Z84" i="20"/>
  <c r="Q116" i="20"/>
  <c r="T116" i="20" s="1"/>
  <c r="Z116" i="20"/>
  <c r="Q148" i="20"/>
  <c r="T148" i="20" s="1"/>
  <c r="Z148" i="20"/>
  <c r="Q180" i="20"/>
  <c r="T180" i="20" s="1"/>
  <c r="Z180" i="20"/>
  <c r="Q212" i="20"/>
  <c r="T212" i="20" s="1"/>
  <c r="Z212" i="20"/>
  <c r="Q244" i="20"/>
  <c r="T244" i="20" s="1"/>
  <c r="Z244" i="20"/>
  <c r="R24" i="20"/>
  <c r="U24" i="20" s="1"/>
  <c r="AA24" i="20"/>
  <c r="R56" i="20"/>
  <c r="U56" i="20" s="1"/>
  <c r="AA56" i="20"/>
  <c r="R88" i="20"/>
  <c r="U88" i="20" s="1"/>
  <c r="AA88" i="20"/>
  <c r="R120" i="20"/>
  <c r="U120" i="20" s="1"/>
  <c r="AA120" i="20"/>
  <c r="R152" i="20"/>
  <c r="U152" i="20" s="1"/>
  <c r="AA152" i="20"/>
  <c r="R184" i="20"/>
  <c r="U184" i="20" s="1"/>
  <c r="AA184" i="20"/>
  <c r="R216" i="20"/>
  <c r="U216" i="20" s="1"/>
  <c r="AA216" i="20"/>
  <c r="R248" i="20"/>
  <c r="U248" i="20" s="1"/>
  <c r="AA248" i="20"/>
  <c r="X28" i="23"/>
  <c r="X28" i="19"/>
  <c r="G20" i="14"/>
  <c r="S19" i="14"/>
  <c r="H57" i="4"/>
  <c r="H100" i="3"/>
  <c r="I16" i="4"/>
  <c r="M3" i="14"/>
  <c r="M4" i="14" s="1"/>
  <c r="P12" i="14" s="1"/>
  <c r="M8" i="14" s="1"/>
  <c r="F3" i="14"/>
  <c r="I81" i="3"/>
  <c r="I97" i="3" s="1"/>
  <c r="I80" i="3"/>
  <c r="I96" i="3" s="1"/>
  <c r="I75" i="3"/>
  <c r="I91" i="3" s="1"/>
  <c r="I78" i="3"/>
  <c r="I94" i="3" s="1"/>
  <c r="J15" i="4" s="1"/>
  <c r="I73" i="3"/>
  <c r="I89" i="3" s="1"/>
  <c r="J12" i="4" s="1"/>
  <c r="I79" i="3"/>
  <c r="I95" i="3" s="1"/>
  <c r="I72" i="3"/>
  <c r="I88" i="3" s="1"/>
  <c r="J11" i="4" s="1"/>
  <c r="I77" i="3"/>
  <c r="I93" i="3" s="1"/>
  <c r="J14" i="4" s="1"/>
  <c r="I83" i="3"/>
  <c r="I99" i="3" s="1"/>
  <c r="I82" i="3"/>
  <c r="I98" i="3" s="1"/>
  <c r="J18" i="4" s="1"/>
  <c r="I74" i="3"/>
  <c r="I90" i="3" s="1"/>
  <c r="J13" i="4" s="1"/>
  <c r="I76" i="3"/>
  <c r="I92" i="3" s="1"/>
  <c r="I71" i="3"/>
  <c r="I87" i="3" s="1"/>
  <c r="J10" i="4" s="1"/>
  <c r="I84" i="3"/>
  <c r="I25" i="14"/>
  <c r="F25" i="14" s="1"/>
  <c r="H25" i="14"/>
  <c r="E25" i="14" s="1"/>
  <c r="Q234" i="20"/>
  <c r="T234" i="20" s="1"/>
  <c r="Z234" i="20"/>
  <c r="R65" i="20"/>
  <c r="U65" i="20" s="1"/>
  <c r="AA65" i="20"/>
  <c r="R142" i="20"/>
  <c r="U142" i="20" s="1"/>
  <c r="AA142" i="20"/>
  <c r="Q50" i="20"/>
  <c r="T50" i="20" s="1"/>
  <c r="Z50" i="20"/>
  <c r="R123" i="20"/>
  <c r="U123" i="20" s="1"/>
  <c r="AA123" i="20"/>
  <c r="R199" i="20"/>
  <c r="U199" i="20" s="1"/>
  <c r="AA199" i="20"/>
  <c r="Q67" i="20"/>
  <c r="T67" i="20" s="1"/>
  <c r="Z67" i="20"/>
  <c r="R69" i="20"/>
  <c r="U69" i="20" s="1"/>
  <c r="AA69" i="20"/>
  <c r="Q75" i="20"/>
  <c r="T75" i="20" s="1"/>
  <c r="Z75" i="20"/>
  <c r="Q82" i="20"/>
  <c r="T82" i="20" s="1"/>
  <c r="Z82" i="20"/>
  <c r="Q253" i="20"/>
  <c r="T253" i="20" s="1"/>
  <c r="Z253" i="20"/>
  <c r="Q132" i="20"/>
  <c r="T132" i="20" s="1"/>
  <c r="Z132" i="20"/>
  <c r="Q260" i="20"/>
  <c r="T260" i="20" s="1"/>
  <c r="Z260" i="20"/>
  <c r="R104" i="20"/>
  <c r="U104" i="20" s="1"/>
  <c r="AA104" i="20"/>
  <c r="R232" i="20"/>
  <c r="U232" i="20" s="1"/>
  <c r="AA232" i="20"/>
  <c r="H146" i="3"/>
  <c r="H162" i="3" s="1"/>
  <c r="H148" i="3"/>
  <c r="H164" i="3" s="1"/>
  <c r="I36" i="4" s="1"/>
  <c r="H144" i="3"/>
  <c r="H160" i="3" s="1"/>
  <c r="I33" i="4" s="1"/>
  <c r="H150" i="3"/>
  <c r="H142" i="3"/>
  <c r="H158" i="3" s="1"/>
  <c r="H141" i="3"/>
  <c r="H157" i="3" s="1"/>
  <c r="H137" i="3"/>
  <c r="H153" i="3" s="1"/>
  <c r="I28" i="4" s="1"/>
  <c r="H138" i="3"/>
  <c r="H154" i="3" s="1"/>
  <c r="I29" i="4" s="1"/>
  <c r="H143" i="3"/>
  <c r="H159" i="3" s="1"/>
  <c r="I32" i="4" s="1"/>
  <c r="H147" i="3"/>
  <c r="H163" i="3" s="1"/>
  <c r="I35" i="4" s="1"/>
  <c r="H149" i="3"/>
  <c r="H165" i="3" s="1"/>
  <c r="H140" i="3"/>
  <c r="H156" i="3" s="1"/>
  <c r="I31" i="4" s="1"/>
  <c r="H139" i="3"/>
  <c r="H155" i="3" s="1"/>
  <c r="I30" i="4" s="1"/>
  <c r="H145" i="3"/>
  <c r="H161" i="3" s="1"/>
  <c r="I53" i="4"/>
  <c r="Q117" i="20"/>
  <c r="T117" i="20" s="1"/>
  <c r="Z117" i="20"/>
  <c r="R67" i="20"/>
  <c r="U67" i="20" s="1"/>
  <c r="AA67" i="20"/>
  <c r="R50" i="20"/>
  <c r="U50" i="20" s="1"/>
  <c r="AA50" i="20"/>
  <c r="R43" i="20"/>
  <c r="U43" i="20" s="1"/>
  <c r="AA43" i="20"/>
  <c r="Q30" i="20"/>
  <c r="T30" i="20" s="1"/>
  <c r="Z30" i="20"/>
  <c r="Q243" i="20"/>
  <c r="T243" i="20" s="1"/>
  <c r="Z243" i="20"/>
  <c r="R31" i="20"/>
  <c r="U31" i="20" s="1"/>
  <c r="AA31" i="20"/>
  <c r="R159" i="20"/>
  <c r="U159" i="20" s="1"/>
  <c r="AA159" i="20"/>
  <c r="Q123" i="20"/>
  <c r="T123" i="20" s="1"/>
  <c r="Z123" i="20"/>
  <c r="Q87" i="20"/>
  <c r="T87" i="20" s="1"/>
  <c r="Z87" i="20"/>
  <c r="Q104" i="20"/>
  <c r="T104" i="20" s="1"/>
  <c r="Z104" i="20"/>
  <c r="R236" i="20"/>
  <c r="U236" i="20" s="1"/>
  <c r="AA236" i="20"/>
  <c r="R66" i="20"/>
  <c r="U66" i="20" s="1"/>
  <c r="AA66" i="20"/>
  <c r="R247" i="20"/>
  <c r="U247" i="20" s="1"/>
  <c r="AA247" i="20"/>
  <c r="R86" i="20"/>
  <c r="U86" i="20" s="1"/>
  <c r="AA86" i="20"/>
  <c r="R257" i="20"/>
  <c r="U257" i="20" s="1"/>
  <c r="AA257" i="20"/>
  <c r="R163" i="20"/>
  <c r="U163" i="20" s="1"/>
  <c r="AA163" i="20"/>
  <c r="Q239" i="20"/>
  <c r="T239" i="20" s="1"/>
  <c r="Z239" i="20"/>
  <c r="Q121" i="20"/>
  <c r="T121" i="20" s="1"/>
  <c r="Z121" i="20"/>
  <c r="Q95" i="20"/>
  <c r="T95" i="20" s="1"/>
  <c r="Z95" i="20"/>
  <c r="R109" i="20"/>
  <c r="U109" i="20" s="1"/>
  <c r="AA109" i="20"/>
  <c r="R14" i="20"/>
  <c r="U14" i="20" s="1"/>
  <c r="AA14" i="20"/>
  <c r="Q250" i="20"/>
  <c r="T250" i="20" s="1"/>
  <c r="Z250" i="20"/>
  <c r="R22" i="20"/>
  <c r="U22" i="20" s="1"/>
  <c r="AA22" i="20"/>
  <c r="R13" i="20"/>
  <c r="U13" i="20" s="1"/>
  <c r="AA13" i="20"/>
  <c r="Q106" i="20"/>
  <c r="T106" i="20" s="1"/>
  <c r="Z106" i="20"/>
  <c r="R194" i="20"/>
  <c r="U194" i="20" s="1"/>
  <c r="AA194" i="20"/>
  <c r="Q39" i="20"/>
  <c r="T39" i="20" s="1"/>
  <c r="Z39" i="20"/>
  <c r="Q85" i="20"/>
  <c r="T85" i="20" s="1"/>
  <c r="Z85" i="20"/>
  <c r="R38" i="20"/>
  <c r="U38" i="20" s="1"/>
  <c r="AA38" i="20"/>
  <c r="R118" i="20"/>
  <c r="U118" i="20" s="1"/>
  <c r="AA118" i="20"/>
  <c r="R203" i="20"/>
  <c r="U203" i="20" s="1"/>
  <c r="AA203" i="20"/>
  <c r="Q31" i="20"/>
  <c r="T31" i="20" s="1"/>
  <c r="Z31" i="20"/>
  <c r="R110" i="20"/>
  <c r="U110" i="20" s="1"/>
  <c r="AA110" i="20"/>
  <c r="R195" i="20"/>
  <c r="U195" i="20" s="1"/>
  <c r="AA195" i="20"/>
  <c r="R23" i="20"/>
  <c r="U23" i="20" s="1"/>
  <c r="AA23" i="20"/>
  <c r="Q101" i="20"/>
  <c r="T101" i="20" s="1"/>
  <c r="Z101" i="20"/>
  <c r="Q186" i="20"/>
  <c r="T186" i="20" s="1"/>
  <c r="Z186" i="20"/>
  <c r="R17" i="20"/>
  <c r="U17" i="20" s="1"/>
  <c r="AA17" i="20"/>
  <c r="R91" i="20"/>
  <c r="U91" i="20" s="1"/>
  <c r="AA91" i="20"/>
  <c r="R177" i="20"/>
  <c r="U177" i="20" s="1"/>
  <c r="AA177" i="20"/>
  <c r="R262" i="20"/>
  <c r="U262" i="20" s="1"/>
  <c r="AA262" i="20"/>
  <c r="R82" i="20"/>
  <c r="U82" i="20" s="1"/>
  <c r="AA82" i="20"/>
  <c r="R167" i="20"/>
  <c r="U167" i="20" s="1"/>
  <c r="AA167" i="20"/>
  <c r="R253" i="20"/>
  <c r="U253" i="20" s="1"/>
  <c r="AA253" i="20"/>
  <c r="R83" i="20"/>
  <c r="U83" i="20" s="1"/>
  <c r="AA83" i="20"/>
  <c r="R169" i="20"/>
  <c r="U169" i="20" s="1"/>
  <c r="AA169" i="20"/>
  <c r="R254" i="20"/>
  <c r="U254" i="20" s="1"/>
  <c r="AA254" i="20"/>
  <c r="Q51" i="20"/>
  <c r="T51" i="20" s="1"/>
  <c r="Z51" i="20"/>
  <c r="Q94" i="20"/>
  <c r="T94" i="20" s="1"/>
  <c r="Z94" i="20"/>
  <c r="Q137" i="20"/>
  <c r="T137" i="20" s="1"/>
  <c r="Z137" i="20"/>
  <c r="Q179" i="20"/>
  <c r="T179" i="20" s="1"/>
  <c r="Z179" i="20"/>
  <c r="Q222" i="20"/>
  <c r="T222" i="20" s="1"/>
  <c r="Z222" i="20"/>
  <c r="Q11" i="20"/>
  <c r="T11" i="20" s="1"/>
  <c r="Z11" i="20"/>
  <c r="R53" i="20"/>
  <c r="U53" i="20" s="1"/>
  <c r="AA53" i="20"/>
  <c r="R95" i="20"/>
  <c r="U95" i="20" s="1"/>
  <c r="AA95" i="20"/>
  <c r="R138" i="20"/>
  <c r="U138" i="20" s="1"/>
  <c r="AA138" i="20"/>
  <c r="R181" i="20"/>
  <c r="U181" i="20" s="1"/>
  <c r="AA181" i="20"/>
  <c r="R223" i="20"/>
  <c r="U223" i="20" s="1"/>
  <c r="AA223" i="20"/>
  <c r="Q17" i="20"/>
  <c r="T17" i="20" s="1"/>
  <c r="Z17" i="20"/>
  <c r="Q59" i="20"/>
  <c r="T59" i="20" s="1"/>
  <c r="Z59" i="20"/>
  <c r="Q102" i="20"/>
  <c r="T102" i="20" s="1"/>
  <c r="Z102" i="20"/>
  <c r="Q145" i="20"/>
  <c r="T145" i="20" s="1"/>
  <c r="Z145" i="20"/>
  <c r="Q187" i="20"/>
  <c r="T187" i="20" s="1"/>
  <c r="Z187" i="20"/>
  <c r="Q230" i="20"/>
  <c r="T230" i="20" s="1"/>
  <c r="Z230" i="20"/>
  <c r="Q66" i="20"/>
  <c r="T66" i="20" s="1"/>
  <c r="Z66" i="20"/>
  <c r="Q109" i="20"/>
  <c r="T109" i="20" s="1"/>
  <c r="Z109" i="20"/>
  <c r="Q151" i="20"/>
  <c r="T151" i="20" s="1"/>
  <c r="Z151" i="20"/>
  <c r="Q194" i="20"/>
  <c r="T194" i="20" s="1"/>
  <c r="Z194" i="20"/>
  <c r="Q237" i="20"/>
  <c r="T237" i="20" s="1"/>
  <c r="Z237" i="20"/>
  <c r="Q24" i="20"/>
  <c r="T24" i="20" s="1"/>
  <c r="Z24" i="20"/>
  <c r="Q56" i="20"/>
  <c r="T56" i="20" s="1"/>
  <c r="Z56" i="20"/>
  <c r="Q88" i="20"/>
  <c r="T88" i="20" s="1"/>
  <c r="Z88" i="20"/>
  <c r="Q120" i="20"/>
  <c r="T120" i="20" s="1"/>
  <c r="Z120" i="20"/>
  <c r="Q152" i="20"/>
  <c r="T152" i="20" s="1"/>
  <c r="Z152" i="20"/>
  <c r="Q184" i="20"/>
  <c r="T184" i="20" s="1"/>
  <c r="Z184" i="20"/>
  <c r="Q216" i="20"/>
  <c r="T216" i="20" s="1"/>
  <c r="Z216" i="20"/>
  <c r="Q248" i="20"/>
  <c r="T248" i="20" s="1"/>
  <c r="Z248" i="20"/>
  <c r="R28" i="20"/>
  <c r="U28" i="20" s="1"/>
  <c r="AA28" i="20"/>
  <c r="R60" i="20"/>
  <c r="U60" i="20" s="1"/>
  <c r="AA60" i="20"/>
  <c r="R92" i="20"/>
  <c r="U92" i="20" s="1"/>
  <c r="AA92" i="20"/>
  <c r="R124" i="20"/>
  <c r="U124" i="20" s="1"/>
  <c r="AA124" i="20"/>
  <c r="R156" i="20"/>
  <c r="U156" i="20" s="1"/>
  <c r="AA156" i="20"/>
  <c r="R188" i="20"/>
  <c r="U188" i="20" s="1"/>
  <c r="AA188" i="20"/>
  <c r="R220" i="20"/>
  <c r="U220" i="20" s="1"/>
  <c r="AA220" i="20"/>
  <c r="R252" i="20"/>
  <c r="U252" i="20" s="1"/>
  <c r="AA252" i="20"/>
  <c r="D57" i="13"/>
  <c r="H18" i="13"/>
  <c r="G43" i="4"/>
  <c r="M101" i="4"/>
  <c r="M123" i="4" s="1"/>
  <c r="N56" i="4"/>
  <c r="X70" i="23"/>
  <c r="X70" i="19"/>
  <c r="G62" i="14"/>
  <c r="S61" i="14"/>
  <c r="I67" i="14"/>
  <c r="F67" i="14" s="1"/>
  <c r="H67" i="14"/>
  <c r="E67" i="14" s="1"/>
  <c r="X35" i="23"/>
  <c r="X35" i="19"/>
  <c r="S26" i="14"/>
  <c r="G27" i="14"/>
  <c r="G121" i="4" l="1"/>
  <c r="E65" i="28"/>
  <c r="D62" i="28"/>
  <c r="D65" i="28" s="1"/>
  <c r="B65" i="28"/>
  <c r="Q72" i="30" s="1"/>
  <c r="G133" i="4"/>
  <c r="G120" i="4"/>
  <c r="H97" i="4"/>
  <c r="H98" i="4"/>
  <c r="G122" i="4"/>
  <c r="H99" i="4"/>
  <c r="G132" i="4"/>
  <c r="G110" i="4"/>
  <c r="G115" i="4" s="1"/>
  <c r="H59" i="3"/>
  <c r="C101" i="28"/>
  <c r="Q76" i="30" s="1"/>
  <c r="C99" i="28"/>
  <c r="Q74" i="30" s="1"/>
  <c r="H63" i="3"/>
  <c r="C100" i="28"/>
  <c r="Q75" i="30" s="1"/>
  <c r="H61" i="3"/>
  <c r="H64" i="3"/>
  <c r="H94" i="4"/>
  <c r="H96" i="4"/>
  <c r="C98" i="28"/>
  <c r="Q73" i="30" s="1"/>
  <c r="H95" i="4"/>
  <c r="H65" i="3"/>
  <c r="J15" i="20"/>
  <c r="H57" i="3"/>
  <c r="H103" i="4"/>
  <c r="H134" i="4" s="1"/>
  <c r="H104" i="4"/>
  <c r="H135" i="4" s="1"/>
  <c r="I79" i="4"/>
  <c r="J53" i="4"/>
  <c r="I68" i="4"/>
  <c r="I41" i="4"/>
  <c r="I74" i="4"/>
  <c r="I45" i="4"/>
  <c r="I67" i="4"/>
  <c r="I40" i="4"/>
  <c r="I81" i="4"/>
  <c r="I73" i="4"/>
  <c r="J51" i="4"/>
  <c r="I82" i="4"/>
  <c r="J49" i="4"/>
  <c r="I88" i="4"/>
  <c r="J52" i="4"/>
  <c r="I66" i="4"/>
  <c r="I39" i="4"/>
  <c r="I84" i="4"/>
  <c r="I89" i="4"/>
  <c r="I69" i="4"/>
  <c r="I42" i="4"/>
  <c r="I83" i="4"/>
  <c r="J59" i="4"/>
  <c r="I64" i="4"/>
  <c r="I37" i="4"/>
  <c r="I80" i="4"/>
  <c r="I65" i="4"/>
  <c r="I38" i="4"/>
  <c r="M62" i="4"/>
  <c r="L107" i="4"/>
  <c r="L127" i="4" s="1"/>
  <c r="H26" i="14"/>
  <c r="E26" i="14" s="1"/>
  <c r="I26" i="14"/>
  <c r="F26" i="14" s="1"/>
  <c r="H43" i="4"/>
  <c r="H58" i="3"/>
  <c r="H62" i="3"/>
  <c r="F9" i="12"/>
  <c r="G2" i="12"/>
  <c r="X92" i="23"/>
  <c r="X92" i="19"/>
  <c r="G84" i="14"/>
  <c r="S83" i="14"/>
  <c r="X85" i="23"/>
  <c r="X85" i="19"/>
  <c r="S76" i="14"/>
  <c r="G77" i="14"/>
  <c r="I5" i="14"/>
  <c r="F5" i="14" s="1"/>
  <c r="H5" i="14"/>
  <c r="E5" i="14" s="1"/>
  <c r="N101" i="4"/>
  <c r="N123" i="4" s="1"/>
  <c r="O56" i="4"/>
  <c r="K15" i="20"/>
  <c r="K16" i="20" s="1"/>
  <c r="K19" i="20" s="1"/>
  <c r="J50" i="4"/>
  <c r="H102" i="4"/>
  <c r="L78" i="4"/>
  <c r="K108" i="4"/>
  <c r="K128" i="4" s="1"/>
  <c r="H66" i="3"/>
  <c r="H82" i="14"/>
  <c r="E82" i="14" s="1"/>
  <c r="I82" i="14"/>
  <c r="F82" i="14" s="1"/>
  <c r="I33" i="14"/>
  <c r="F33" i="14" s="1"/>
  <c r="H33" i="14"/>
  <c r="E33" i="14" s="1"/>
  <c r="J103" i="3"/>
  <c r="K5" i="4"/>
  <c r="L17" i="2"/>
  <c r="X43" i="23"/>
  <c r="X43" i="19"/>
  <c r="S34" i="14"/>
  <c r="G35" i="14"/>
  <c r="I19" i="14"/>
  <c r="F19" i="14" s="1"/>
  <c r="H19" i="14"/>
  <c r="E19" i="14" s="1"/>
  <c r="K70" i="3"/>
  <c r="L4" i="4"/>
  <c r="M16" i="2"/>
  <c r="X22" i="23"/>
  <c r="X22" i="19"/>
  <c r="S13" i="14"/>
  <c r="G14" i="14"/>
  <c r="X78" i="23"/>
  <c r="G70" i="14"/>
  <c r="X78" i="19"/>
  <c r="S69" i="14"/>
  <c r="I34" i="4"/>
  <c r="I87" i="4" s="1"/>
  <c r="H166" i="3"/>
  <c r="I100" i="3"/>
  <c r="J16" i="4"/>
  <c r="X29" i="23"/>
  <c r="X29" i="19"/>
  <c r="S20" i="14"/>
  <c r="G21" i="14"/>
  <c r="L4" i="14"/>
  <c r="N3" i="14"/>
  <c r="P55" i="4"/>
  <c r="H54" i="3"/>
  <c r="H55" i="3"/>
  <c r="K19" i="2"/>
  <c r="H54" i="14"/>
  <c r="E54" i="14" s="1"/>
  <c r="I54" i="14"/>
  <c r="F54" i="14" s="1"/>
  <c r="I107" i="3"/>
  <c r="I123" i="3" s="1"/>
  <c r="J22" i="4" s="1"/>
  <c r="I105" i="3"/>
  <c r="I121" i="3" s="1"/>
  <c r="J20" i="4" s="1"/>
  <c r="I114" i="3"/>
  <c r="I130" i="3" s="1"/>
  <c r="J26" i="4" s="1"/>
  <c r="I117" i="3"/>
  <c r="I104" i="3"/>
  <c r="I120" i="3" s="1"/>
  <c r="J19" i="4" s="1"/>
  <c r="I111" i="3"/>
  <c r="I127" i="3" s="1"/>
  <c r="J24" i="4" s="1"/>
  <c r="I116" i="3"/>
  <c r="I132" i="3" s="1"/>
  <c r="I106" i="3"/>
  <c r="I122" i="3" s="1"/>
  <c r="J21" i="4" s="1"/>
  <c r="I115" i="3"/>
  <c r="I131" i="3" s="1"/>
  <c r="J27" i="4" s="1"/>
  <c r="I112" i="3"/>
  <c r="I128" i="3" s="1"/>
  <c r="I110" i="3"/>
  <c r="I126" i="3" s="1"/>
  <c r="J23" i="4" s="1"/>
  <c r="I113" i="3"/>
  <c r="I129" i="3" s="1"/>
  <c r="I109" i="3"/>
  <c r="I125" i="3" s="1"/>
  <c r="I108" i="3"/>
  <c r="I124" i="3" s="1"/>
  <c r="I12" i="14"/>
  <c r="F12" i="14" s="1"/>
  <c r="H12" i="14"/>
  <c r="E12" i="14" s="1"/>
  <c r="H68" i="14"/>
  <c r="E68" i="14" s="1"/>
  <c r="I68" i="14"/>
  <c r="F68" i="14" s="1"/>
  <c r="G124" i="4"/>
  <c r="H60" i="3"/>
  <c r="H133" i="3"/>
  <c r="I25" i="4"/>
  <c r="I72" i="4" s="1"/>
  <c r="J54" i="4"/>
  <c r="J73" i="3"/>
  <c r="J89" i="3" s="1"/>
  <c r="K12" i="4" s="1"/>
  <c r="J76" i="3"/>
  <c r="J92" i="3" s="1"/>
  <c r="J79" i="3"/>
  <c r="J95" i="3" s="1"/>
  <c r="J81" i="3"/>
  <c r="J97" i="3" s="1"/>
  <c r="J80" i="3"/>
  <c r="J96" i="3" s="1"/>
  <c r="J84" i="3"/>
  <c r="J71" i="3"/>
  <c r="J87" i="3" s="1"/>
  <c r="K10" i="4" s="1"/>
  <c r="J83" i="3"/>
  <c r="J99" i="3" s="1"/>
  <c r="J72" i="3"/>
  <c r="J88" i="3" s="1"/>
  <c r="K11" i="4" s="1"/>
  <c r="J82" i="3"/>
  <c r="J98" i="3" s="1"/>
  <c r="K18" i="4" s="1"/>
  <c r="J75" i="3"/>
  <c r="J91" i="3" s="1"/>
  <c r="J74" i="3"/>
  <c r="J90" i="3" s="1"/>
  <c r="K13" i="4" s="1"/>
  <c r="J77" i="3"/>
  <c r="J93" i="3" s="1"/>
  <c r="K14" i="4" s="1"/>
  <c r="J78" i="3"/>
  <c r="J94" i="3" s="1"/>
  <c r="K15" i="4" s="1"/>
  <c r="X64" i="23"/>
  <c r="X64" i="19"/>
  <c r="G56" i="14"/>
  <c r="S55" i="14"/>
  <c r="K6" i="4"/>
  <c r="J136" i="3"/>
  <c r="L18" i="2"/>
  <c r="I57" i="4"/>
  <c r="J7" i="4"/>
  <c r="J20" i="2"/>
  <c r="I19" i="3"/>
  <c r="L85" i="4"/>
  <c r="K100" i="4"/>
  <c r="K136" i="4" s="1"/>
  <c r="P63" i="4"/>
  <c r="H56" i="3"/>
  <c r="X50" i="23"/>
  <c r="X50" i="19"/>
  <c r="G42" i="14"/>
  <c r="S41" i="14"/>
  <c r="F10" i="12"/>
  <c r="G3" i="12"/>
  <c r="I47" i="14"/>
  <c r="F47" i="14" s="1"/>
  <c r="H47" i="14"/>
  <c r="E47" i="14" s="1"/>
  <c r="I147" i="3"/>
  <c r="I163" i="3" s="1"/>
  <c r="J35" i="4" s="1"/>
  <c r="I145" i="3"/>
  <c r="I161" i="3" s="1"/>
  <c r="I141" i="3"/>
  <c r="I157" i="3" s="1"/>
  <c r="I150" i="3"/>
  <c r="I139" i="3"/>
  <c r="I155" i="3" s="1"/>
  <c r="J30" i="4" s="1"/>
  <c r="I148" i="3"/>
  <c r="I164" i="3" s="1"/>
  <c r="J36" i="4" s="1"/>
  <c r="I146" i="3"/>
  <c r="I162" i="3" s="1"/>
  <c r="I143" i="3"/>
  <c r="I159" i="3" s="1"/>
  <c r="J32" i="4" s="1"/>
  <c r="I144" i="3"/>
  <c r="I160" i="3" s="1"/>
  <c r="J33" i="4" s="1"/>
  <c r="I149" i="3"/>
  <c r="I165" i="3" s="1"/>
  <c r="I137" i="3"/>
  <c r="I153" i="3" s="1"/>
  <c r="J28" i="4" s="1"/>
  <c r="I140" i="3"/>
  <c r="I156" i="3" s="1"/>
  <c r="J31" i="4" s="1"/>
  <c r="I142" i="3"/>
  <c r="I158" i="3" s="1"/>
  <c r="I138" i="3"/>
  <c r="I154" i="3" s="1"/>
  <c r="J29" i="4" s="1"/>
  <c r="G4" i="12"/>
  <c r="F11" i="12"/>
  <c r="M51" i="5"/>
  <c r="L55" i="5"/>
  <c r="I61" i="14"/>
  <c r="F61" i="14" s="1"/>
  <c r="H61" i="14"/>
  <c r="E61" i="14" s="1"/>
  <c r="X36" i="23"/>
  <c r="X36" i="19"/>
  <c r="G28" i="14"/>
  <c r="S27" i="14"/>
  <c r="X71" i="23"/>
  <c r="X71" i="19"/>
  <c r="G63" i="14"/>
  <c r="S62" i="14"/>
  <c r="I137" i="4"/>
  <c r="I126" i="4"/>
  <c r="H67" i="3"/>
  <c r="H40" i="14"/>
  <c r="E40" i="14" s="1"/>
  <c r="I40" i="14"/>
  <c r="F40" i="14" s="1"/>
  <c r="I75" i="14"/>
  <c r="F75" i="14" s="1"/>
  <c r="H75" i="14"/>
  <c r="E75" i="14" s="1"/>
  <c r="G36" i="18"/>
  <c r="G38" i="18" s="1"/>
  <c r="G39" i="18" s="1"/>
  <c r="G41" i="18" s="1"/>
  <c r="F38" i="18"/>
  <c r="X57" i="23"/>
  <c r="X57" i="19"/>
  <c r="S48" i="14"/>
  <c r="G49" i="14"/>
  <c r="I58" i="4"/>
  <c r="I44" i="4"/>
  <c r="J17" i="4"/>
  <c r="X15" i="23"/>
  <c r="X15" i="19"/>
  <c r="S6" i="14"/>
  <c r="G7" i="14"/>
  <c r="H121" i="4" l="1"/>
  <c r="I94" i="4"/>
  <c r="I96" i="4"/>
  <c r="H122" i="4"/>
  <c r="H124" i="4"/>
  <c r="I104" i="4"/>
  <c r="I135" i="4" s="1"/>
  <c r="H120" i="4"/>
  <c r="I95" i="4"/>
  <c r="I120" i="4" s="1"/>
  <c r="J106" i="4"/>
  <c r="I103" i="4"/>
  <c r="I134" i="4" s="1"/>
  <c r="I97" i="4"/>
  <c r="I121" i="4" s="1"/>
  <c r="H133" i="4"/>
  <c r="H110" i="4"/>
  <c r="H115" i="4" s="1"/>
  <c r="I98" i="4"/>
  <c r="I99" i="4"/>
  <c r="J74" i="4"/>
  <c r="J45" i="4"/>
  <c r="K50" i="4"/>
  <c r="J73" i="4"/>
  <c r="K49" i="4"/>
  <c r="J67" i="4"/>
  <c r="J40" i="4"/>
  <c r="J69" i="4"/>
  <c r="J42" i="4"/>
  <c r="K51" i="4"/>
  <c r="J66" i="4"/>
  <c r="J39" i="4"/>
  <c r="J80" i="4"/>
  <c r="J81" i="4"/>
  <c r="J64" i="4"/>
  <c r="J37" i="4"/>
  <c r="J79" i="4"/>
  <c r="J68" i="4"/>
  <c r="J41" i="4"/>
  <c r="J65" i="4"/>
  <c r="J38" i="4"/>
  <c r="K53" i="4"/>
  <c r="J89" i="4"/>
  <c r="J82" i="4"/>
  <c r="K59" i="4"/>
  <c r="Q55" i="4"/>
  <c r="I69" i="14"/>
  <c r="F69" i="14" s="1"/>
  <c r="H69" i="14"/>
  <c r="E69" i="14" s="1"/>
  <c r="K82" i="3"/>
  <c r="K98" i="3" s="1"/>
  <c r="L18" i="4" s="1"/>
  <c r="K84" i="3"/>
  <c r="K77" i="3"/>
  <c r="K93" i="3" s="1"/>
  <c r="L14" i="4" s="1"/>
  <c r="K80" i="3"/>
  <c r="K96" i="3" s="1"/>
  <c r="K73" i="3"/>
  <c r="K89" i="3" s="1"/>
  <c r="L12" i="4" s="1"/>
  <c r="K83" i="3"/>
  <c r="K99" i="3" s="1"/>
  <c r="K76" i="3"/>
  <c r="K92" i="3" s="1"/>
  <c r="K79" i="3"/>
  <c r="K95" i="3" s="1"/>
  <c r="K71" i="3"/>
  <c r="K87" i="3" s="1"/>
  <c r="L10" i="4" s="1"/>
  <c r="K74" i="3"/>
  <c r="K90" i="3" s="1"/>
  <c r="L13" i="4" s="1"/>
  <c r="K75" i="3"/>
  <c r="K91" i="3" s="1"/>
  <c r="K81" i="3"/>
  <c r="K97" i="3" s="1"/>
  <c r="K78" i="3"/>
  <c r="K94" i="3" s="1"/>
  <c r="L15" i="4" s="1"/>
  <c r="K72" i="3"/>
  <c r="K88" i="3" s="1"/>
  <c r="L11" i="4" s="1"/>
  <c r="M78" i="4"/>
  <c r="L108" i="4"/>
  <c r="L128" i="4" s="1"/>
  <c r="X86" i="23"/>
  <c r="X86" i="19"/>
  <c r="G78" i="14"/>
  <c r="S77" i="14"/>
  <c r="G9" i="12"/>
  <c r="H2" i="12"/>
  <c r="X65" i="23"/>
  <c r="X65" i="19"/>
  <c r="S56" i="14"/>
  <c r="G57" i="14"/>
  <c r="K52" i="4"/>
  <c r="I6" i="14"/>
  <c r="F6" i="14" s="1"/>
  <c r="H6" i="14"/>
  <c r="E6" i="14" s="1"/>
  <c r="X37" i="23"/>
  <c r="X37" i="19"/>
  <c r="S28" i="14"/>
  <c r="G29" i="14"/>
  <c r="H76" i="14"/>
  <c r="E76" i="14" s="1"/>
  <c r="I76" i="14"/>
  <c r="F76" i="14" s="1"/>
  <c r="F39" i="18"/>
  <c r="H38" i="18"/>
  <c r="I166" i="3"/>
  <c r="J34" i="4"/>
  <c r="J87" i="4" s="1"/>
  <c r="Q63" i="4"/>
  <c r="K54" i="4"/>
  <c r="N4" i="14"/>
  <c r="P9" i="14"/>
  <c r="X79" i="23"/>
  <c r="X79" i="19"/>
  <c r="G71" i="14"/>
  <c r="S70" i="14"/>
  <c r="K103" i="3"/>
  <c r="L5" i="4"/>
  <c r="M17" i="2"/>
  <c r="P56" i="4"/>
  <c r="O101" i="4"/>
  <c r="O123" i="4" s="1"/>
  <c r="J83" i="4"/>
  <c r="J84" i="4"/>
  <c r="J88" i="4"/>
  <c r="K17" i="4"/>
  <c r="J44" i="4"/>
  <c r="J58" i="4"/>
  <c r="G10" i="12"/>
  <c r="H3" i="12"/>
  <c r="J100" i="3"/>
  <c r="K16" i="4"/>
  <c r="X30" i="23"/>
  <c r="X30" i="19"/>
  <c r="G22" i="14"/>
  <c r="S21" i="14"/>
  <c r="I102" i="4"/>
  <c r="K7" i="4"/>
  <c r="K20" i="2"/>
  <c r="J19" i="3"/>
  <c r="H20" i="14"/>
  <c r="E20" i="14" s="1"/>
  <c r="I20" i="14"/>
  <c r="F20" i="14" s="1"/>
  <c r="H132" i="4"/>
  <c r="X23" i="23"/>
  <c r="X23" i="19"/>
  <c r="S14" i="14"/>
  <c r="G15" i="14"/>
  <c r="L19" i="2"/>
  <c r="J106" i="3"/>
  <c r="J122" i="3" s="1"/>
  <c r="K21" i="4" s="1"/>
  <c r="J108" i="3"/>
  <c r="J124" i="3" s="1"/>
  <c r="J115" i="3"/>
  <c r="J131" i="3" s="1"/>
  <c r="K27" i="4" s="1"/>
  <c r="J114" i="3"/>
  <c r="J130" i="3" s="1"/>
  <c r="K26" i="4" s="1"/>
  <c r="J110" i="3"/>
  <c r="J126" i="3" s="1"/>
  <c r="K23" i="4" s="1"/>
  <c r="J107" i="3"/>
  <c r="J123" i="3" s="1"/>
  <c r="K22" i="4" s="1"/>
  <c r="J104" i="3"/>
  <c r="J120" i="3" s="1"/>
  <c r="K19" i="4" s="1"/>
  <c r="J117" i="3"/>
  <c r="J113" i="3"/>
  <c r="J129" i="3" s="1"/>
  <c r="J116" i="3"/>
  <c r="J132" i="3" s="1"/>
  <c r="J105" i="3"/>
  <c r="J121" i="3" s="1"/>
  <c r="K20" i="4" s="1"/>
  <c r="J109" i="3"/>
  <c r="J125" i="3" s="1"/>
  <c r="J112" i="3"/>
  <c r="J128" i="3" s="1"/>
  <c r="J111" i="3"/>
  <c r="J127" i="3" s="1"/>
  <c r="K24" i="4" s="1"/>
  <c r="I83" i="14"/>
  <c r="F83" i="14" s="1"/>
  <c r="H83" i="14"/>
  <c r="E83" i="14" s="1"/>
  <c r="M107" i="4"/>
  <c r="M127" i="4" s="1"/>
  <c r="N62" i="4"/>
  <c r="K136" i="3"/>
  <c r="L6" i="4"/>
  <c r="M18" i="2"/>
  <c r="H62" i="14"/>
  <c r="E62" i="14" s="1"/>
  <c r="I62" i="14"/>
  <c r="F62" i="14" s="1"/>
  <c r="J146" i="3"/>
  <c r="J162" i="3" s="1"/>
  <c r="J143" i="3"/>
  <c r="J159" i="3" s="1"/>
  <c r="K32" i="4" s="1"/>
  <c r="J137" i="3"/>
  <c r="J153" i="3" s="1"/>
  <c r="K28" i="4" s="1"/>
  <c r="J149" i="3"/>
  <c r="J165" i="3" s="1"/>
  <c r="J147" i="3"/>
  <c r="J163" i="3" s="1"/>
  <c r="K35" i="4" s="1"/>
  <c r="J141" i="3"/>
  <c r="J157" i="3" s="1"/>
  <c r="J148" i="3"/>
  <c r="J164" i="3" s="1"/>
  <c r="K36" i="4" s="1"/>
  <c r="J144" i="3"/>
  <c r="J160" i="3" s="1"/>
  <c r="K33" i="4" s="1"/>
  <c r="J150" i="3"/>
  <c r="J138" i="3"/>
  <c r="J154" i="3" s="1"/>
  <c r="K29" i="4" s="1"/>
  <c r="J145" i="3"/>
  <c r="J161" i="3" s="1"/>
  <c r="J140" i="3"/>
  <c r="J156" i="3" s="1"/>
  <c r="K31" i="4" s="1"/>
  <c r="J139" i="3"/>
  <c r="J155" i="3" s="1"/>
  <c r="K30" i="4" s="1"/>
  <c r="J142" i="3"/>
  <c r="J158" i="3" s="1"/>
  <c r="X72" i="23"/>
  <c r="X72" i="19"/>
  <c r="G64" i="14"/>
  <c r="S63" i="14"/>
  <c r="I41" i="14"/>
  <c r="F41" i="14" s="1"/>
  <c r="H41" i="14"/>
  <c r="E41" i="14" s="1"/>
  <c r="M85" i="4"/>
  <c r="L100" i="4"/>
  <c r="L136" i="4" s="1"/>
  <c r="I43" i="4"/>
  <c r="I13" i="14"/>
  <c r="F13" i="14" s="1"/>
  <c r="H13" i="14"/>
  <c r="E13" i="14" s="1"/>
  <c r="L70" i="3"/>
  <c r="M4" i="4"/>
  <c r="N16" i="2"/>
  <c r="X93" i="23"/>
  <c r="X93" i="19"/>
  <c r="S84" i="14"/>
  <c r="G85" i="14"/>
  <c r="X58" i="23"/>
  <c r="X58" i="19"/>
  <c r="G50" i="14"/>
  <c r="S49" i="14"/>
  <c r="X51" i="23"/>
  <c r="X51" i="19"/>
  <c r="G43" i="14"/>
  <c r="S42" i="14"/>
  <c r="J126" i="4"/>
  <c r="J137" i="4"/>
  <c r="J25" i="4"/>
  <c r="J72" i="4" s="1"/>
  <c r="I133" i="3"/>
  <c r="L15" i="20"/>
  <c r="X44" i="23"/>
  <c r="X44" i="19"/>
  <c r="G36" i="14"/>
  <c r="S35" i="14"/>
  <c r="I27" i="14"/>
  <c r="F27" i="14" s="1"/>
  <c r="H27" i="14"/>
  <c r="E27" i="14" s="1"/>
  <c r="X16" i="23"/>
  <c r="X16" i="19"/>
  <c r="G8" i="14"/>
  <c r="S7" i="14"/>
  <c r="H48" i="14"/>
  <c r="E48" i="14" s="1"/>
  <c r="I48" i="14"/>
  <c r="F48" i="14" s="1"/>
  <c r="N51" i="5"/>
  <c r="M55" i="5"/>
  <c r="H4" i="12"/>
  <c r="G11" i="12"/>
  <c r="I48" i="3"/>
  <c r="I64" i="3" s="1"/>
  <c r="I44" i="3"/>
  <c r="I60" i="3" s="1"/>
  <c r="I42" i="3"/>
  <c r="I58" i="3" s="1"/>
  <c r="I40" i="3"/>
  <c r="I56" i="3" s="1"/>
  <c r="I38" i="3"/>
  <c r="I54" i="3" s="1"/>
  <c r="I43" i="3"/>
  <c r="I59" i="3" s="1"/>
  <c r="I51" i="3"/>
  <c r="I67" i="3" s="1"/>
  <c r="I49" i="3"/>
  <c r="I65" i="3" s="1"/>
  <c r="I46" i="3"/>
  <c r="I62" i="3" s="1"/>
  <c r="I47" i="3"/>
  <c r="I63" i="3" s="1"/>
  <c r="I41" i="3"/>
  <c r="I57" i="3" s="1"/>
  <c r="I39" i="3"/>
  <c r="I55" i="3" s="1"/>
  <c r="I50" i="3"/>
  <c r="I66" i="3" s="1"/>
  <c r="I45" i="3"/>
  <c r="I61" i="3" s="1"/>
  <c r="I55" i="14"/>
  <c r="F55" i="14" s="1"/>
  <c r="H55" i="14"/>
  <c r="E55" i="14" s="1"/>
  <c r="J57" i="4"/>
  <c r="H34" i="14"/>
  <c r="E34" i="14" s="1"/>
  <c r="I34" i="14"/>
  <c r="F34" i="14" s="1"/>
  <c r="I124" i="4" l="1"/>
  <c r="J97" i="4"/>
  <c r="J99" i="4"/>
  <c r="I110" i="4"/>
  <c r="I115" i="4" s="1"/>
  <c r="J104" i="4"/>
  <c r="J135" i="4" s="1"/>
  <c r="I122" i="4"/>
  <c r="I133" i="4"/>
  <c r="J95" i="4"/>
  <c r="M19" i="2"/>
  <c r="M7" i="4" s="1"/>
  <c r="J94" i="4"/>
  <c r="J96" i="4"/>
  <c r="J98" i="4"/>
  <c r="K66" i="4"/>
  <c r="K39" i="4"/>
  <c r="L53" i="4"/>
  <c r="K84" i="4"/>
  <c r="L50" i="4"/>
  <c r="K89" i="4"/>
  <c r="K81" i="4"/>
  <c r="K67" i="4"/>
  <c r="K40" i="4"/>
  <c r="K68" i="4"/>
  <c r="K41" i="4"/>
  <c r="L51" i="4"/>
  <c r="K79" i="4"/>
  <c r="L49" i="4"/>
  <c r="L59" i="4"/>
  <c r="K80" i="4"/>
  <c r="K83" i="4"/>
  <c r="K65" i="4"/>
  <c r="K38" i="4"/>
  <c r="K74" i="4"/>
  <c r="K45" i="4"/>
  <c r="J102" i="4"/>
  <c r="X73" i="23"/>
  <c r="X73" i="19"/>
  <c r="S64" i="14"/>
  <c r="G65" i="14"/>
  <c r="I132" i="4"/>
  <c r="H70" i="14"/>
  <c r="E70" i="14" s="1"/>
  <c r="I70" i="14"/>
  <c r="F70" i="14" s="1"/>
  <c r="X38" i="23"/>
  <c r="X38" i="19"/>
  <c r="S29" i="14"/>
  <c r="G30" i="14"/>
  <c r="N78" i="4"/>
  <c r="M108" i="4"/>
  <c r="M128" i="4" s="1"/>
  <c r="K69" i="4"/>
  <c r="K73" i="4"/>
  <c r="K34" i="4"/>
  <c r="K87" i="4" s="1"/>
  <c r="J166" i="3"/>
  <c r="O62" i="4"/>
  <c r="N107" i="4"/>
  <c r="N127" i="4" s="1"/>
  <c r="K57" i="4"/>
  <c r="K44" i="4"/>
  <c r="L17" i="4"/>
  <c r="K58" i="4"/>
  <c r="X80" i="23"/>
  <c r="X80" i="19"/>
  <c r="G72" i="14"/>
  <c r="S71" i="14"/>
  <c r="H28" i="14"/>
  <c r="E28" i="14" s="1"/>
  <c r="I28" i="14"/>
  <c r="F28" i="14" s="1"/>
  <c r="H9" i="12"/>
  <c r="I2" i="12"/>
  <c r="K64" i="4"/>
  <c r="O51" i="5"/>
  <c r="N55" i="5"/>
  <c r="J43" i="4"/>
  <c r="I49" i="14"/>
  <c r="F49" i="14" s="1"/>
  <c r="H49" i="14"/>
  <c r="E49" i="14" s="1"/>
  <c r="K106" i="4"/>
  <c r="I3" i="12"/>
  <c r="H10" i="12"/>
  <c r="Q56" i="4"/>
  <c r="P101" i="4"/>
  <c r="P123" i="4" s="1"/>
  <c r="R55" i="4"/>
  <c r="H7" i="14"/>
  <c r="E7" i="14" s="1"/>
  <c r="I7" i="14"/>
  <c r="F7" i="14" s="1"/>
  <c r="X52" i="23"/>
  <c r="X52" i="19"/>
  <c r="G44" i="14"/>
  <c r="S43" i="14"/>
  <c r="X59" i="23"/>
  <c r="X59" i="19"/>
  <c r="G51" i="14"/>
  <c r="S50" i="14"/>
  <c r="X94" i="23"/>
  <c r="X94" i="19"/>
  <c r="G86" i="14"/>
  <c r="S85" i="14"/>
  <c r="N85" i="4"/>
  <c r="M100" i="4"/>
  <c r="M136" i="4" s="1"/>
  <c r="X24" i="23"/>
  <c r="X24" i="19"/>
  <c r="G16" i="14"/>
  <c r="S15" i="14"/>
  <c r="J45" i="3"/>
  <c r="J61" i="3" s="1"/>
  <c r="J43" i="3"/>
  <c r="J59" i="3" s="1"/>
  <c r="J41" i="3"/>
  <c r="J57" i="3" s="1"/>
  <c r="J51" i="3"/>
  <c r="J67" i="3" s="1"/>
  <c r="J44" i="3"/>
  <c r="J60" i="3" s="1"/>
  <c r="J46" i="3"/>
  <c r="J62" i="3" s="1"/>
  <c r="J38" i="3"/>
  <c r="J54" i="3" s="1"/>
  <c r="J40" i="3"/>
  <c r="J56" i="3" s="1"/>
  <c r="J47" i="3"/>
  <c r="J63" i="3" s="1"/>
  <c r="J48" i="3"/>
  <c r="J64" i="3" s="1"/>
  <c r="J50" i="3"/>
  <c r="J66" i="3" s="1"/>
  <c r="J49" i="3"/>
  <c r="J65" i="3" s="1"/>
  <c r="J42" i="3"/>
  <c r="J58" i="3" s="1"/>
  <c r="J39" i="3"/>
  <c r="J55" i="3" s="1"/>
  <c r="L103" i="3"/>
  <c r="M5" i="4"/>
  <c r="N17" i="2"/>
  <c r="Q9" i="16"/>
  <c r="M8" i="16" s="1"/>
  <c r="O8" i="16" s="1"/>
  <c r="K17" i="14"/>
  <c r="L8" i="14"/>
  <c r="N8" i="14" s="1"/>
  <c r="X87" i="23"/>
  <c r="X87" i="19"/>
  <c r="G79" i="14"/>
  <c r="S78" i="14"/>
  <c r="N4" i="4"/>
  <c r="M70" i="3"/>
  <c r="O16" i="2"/>
  <c r="K88" i="4"/>
  <c r="H42" i="14"/>
  <c r="E42" i="14" s="1"/>
  <c r="I42" i="14"/>
  <c r="F42" i="14" s="1"/>
  <c r="J133" i="3"/>
  <c r="K25" i="4"/>
  <c r="K72" i="4" s="1"/>
  <c r="L7" i="4"/>
  <c r="L20" i="2"/>
  <c r="K19" i="3"/>
  <c r="R63" i="4"/>
  <c r="I35" i="14"/>
  <c r="F35" i="14" s="1"/>
  <c r="H35" i="14"/>
  <c r="E35" i="14" s="1"/>
  <c r="H84" i="14"/>
  <c r="E84" i="14" s="1"/>
  <c r="I84" i="14"/>
  <c r="F84" i="14" s="1"/>
  <c r="L136" i="3"/>
  <c r="M6" i="4"/>
  <c r="N18" i="2"/>
  <c r="I14" i="14"/>
  <c r="F14" i="14" s="1"/>
  <c r="H14" i="14"/>
  <c r="E14" i="14" s="1"/>
  <c r="I21" i="14"/>
  <c r="F21" i="14" s="1"/>
  <c r="H21" i="14"/>
  <c r="E21" i="14" s="1"/>
  <c r="X66" i="23"/>
  <c r="X66" i="19"/>
  <c r="G58" i="14"/>
  <c r="S57" i="14"/>
  <c r="F41" i="18"/>
  <c r="H41" i="18" s="1"/>
  <c r="H39" i="18"/>
  <c r="K82" i="4"/>
  <c r="L81" i="3"/>
  <c r="L97" i="3" s="1"/>
  <c r="L75" i="3"/>
  <c r="L91" i="3" s="1"/>
  <c r="L73" i="3"/>
  <c r="L89" i="3" s="1"/>
  <c r="M12" i="4" s="1"/>
  <c r="L71" i="3"/>
  <c r="L87" i="3" s="1"/>
  <c r="M10" i="4" s="1"/>
  <c r="L72" i="3"/>
  <c r="L88" i="3" s="1"/>
  <c r="M11" i="4" s="1"/>
  <c r="L83" i="3"/>
  <c r="L99" i="3" s="1"/>
  <c r="L80" i="3"/>
  <c r="L96" i="3" s="1"/>
  <c r="L74" i="3"/>
  <c r="L90" i="3" s="1"/>
  <c r="M13" i="4" s="1"/>
  <c r="L84" i="3"/>
  <c r="L76" i="3"/>
  <c r="L92" i="3" s="1"/>
  <c r="L82" i="3"/>
  <c r="L98" i="3" s="1"/>
  <c r="M18" i="4" s="1"/>
  <c r="L78" i="3"/>
  <c r="L94" i="3" s="1"/>
  <c r="M15" i="4" s="1"/>
  <c r="L77" i="3"/>
  <c r="L93" i="3" s="1"/>
  <c r="M14" i="4" s="1"/>
  <c r="L79" i="3"/>
  <c r="L95" i="3" s="1"/>
  <c r="I77" i="14"/>
  <c r="F77" i="14" s="1"/>
  <c r="H77" i="14"/>
  <c r="E77" i="14" s="1"/>
  <c r="I4" i="12"/>
  <c r="H11" i="12"/>
  <c r="X17" i="23"/>
  <c r="X17" i="19"/>
  <c r="G9" i="14"/>
  <c r="S8" i="14"/>
  <c r="X45" i="23"/>
  <c r="X45" i="19"/>
  <c r="G37" i="14"/>
  <c r="S36" i="14"/>
  <c r="X31" i="23"/>
  <c r="X31" i="19"/>
  <c r="G23" i="14"/>
  <c r="S22" i="14"/>
  <c r="K107" i="3"/>
  <c r="K123" i="3" s="1"/>
  <c r="L22" i="4" s="1"/>
  <c r="K109" i="3"/>
  <c r="K125" i="3" s="1"/>
  <c r="K116" i="3"/>
  <c r="K132" i="3" s="1"/>
  <c r="K110" i="3"/>
  <c r="K126" i="3" s="1"/>
  <c r="L23" i="4" s="1"/>
  <c r="K112" i="3"/>
  <c r="K128" i="3" s="1"/>
  <c r="K106" i="3"/>
  <c r="K122" i="3" s="1"/>
  <c r="L21" i="4" s="1"/>
  <c r="K105" i="3"/>
  <c r="K121" i="3" s="1"/>
  <c r="L20" i="4" s="1"/>
  <c r="K117" i="3"/>
  <c r="K115" i="3"/>
  <c r="K131" i="3" s="1"/>
  <c r="L27" i="4" s="1"/>
  <c r="K114" i="3"/>
  <c r="K130" i="3" s="1"/>
  <c r="L26" i="4" s="1"/>
  <c r="K111" i="3"/>
  <c r="K127" i="3" s="1"/>
  <c r="L24" i="4" s="1"/>
  <c r="K113" i="3"/>
  <c r="K129" i="3" s="1"/>
  <c r="K108" i="3"/>
  <c r="K124" i="3" s="1"/>
  <c r="K104" i="3"/>
  <c r="K120" i="3" s="1"/>
  <c r="L19" i="4" s="1"/>
  <c r="L54" i="4"/>
  <c r="H56" i="14"/>
  <c r="E56" i="14" s="1"/>
  <c r="I56" i="14"/>
  <c r="F56" i="14" s="1"/>
  <c r="K37" i="4"/>
  <c r="I63" i="14"/>
  <c r="F63" i="14" s="1"/>
  <c r="H63" i="14"/>
  <c r="E63" i="14" s="1"/>
  <c r="K144" i="3"/>
  <c r="K160" i="3" s="1"/>
  <c r="L33" i="4" s="1"/>
  <c r="K147" i="3"/>
  <c r="K163" i="3" s="1"/>
  <c r="L35" i="4" s="1"/>
  <c r="K142" i="3"/>
  <c r="K158" i="3" s="1"/>
  <c r="K143" i="3"/>
  <c r="K159" i="3" s="1"/>
  <c r="L32" i="4" s="1"/>
  <c r="K145" i="3"/>
  <c r="K161" i="3" s="1"/>
  <c r="K150" i="3"/>
  <c r="K139" i="3"/>
  <c r="K155" i="3" s="1"/>
  <c r="L30" i="4" s="1"/>
  <c r="K149" i="3"/>
  <c r="K165" i="3" s="1"/>
  <c r="K138" i="3"/>
  <c r="K154" i="3" s="1"/>
  <c r="L29" i="4" s="1"/>
  <c r="K137" i="3"/>
  <c r="K153" i="3" s="1"/>
  <c r="L28" i="4" s="1"/>
  <c r="K140" i="3"/>
  <c r="K156" i="3" s="1"/>
  <c r="L31" i="4" s="1"/>
  <c r="K141" i="3"/>
  <c r="K157" i="3" s="1"/>
  <c r="K148" i="3"/>
  <c r="K164" i="3" s="1"/>
  <c r="L36" i="4" s="1"/>
  <c r="K146" i="3"/>
  <c r="K162" i="3" s="1"/>
  <c r="J103" i="4"/>
  <c r="J134" i="4" s="1"/>
  <c r="K42" i="4"/>
  <c r="L52" i="4"/>
  <c r="L16" i="4"/>
  <c r="K100" i="3"/>
  <c r="J133" i="4" l="1"/>
  <c r="K98" i="4"/>
  <c r="J120" i="4"/>
  <c r="J122" i="4"/>
  <c r="K94" i="4"/>
  <c r="L19" i="3"/>
  <c r="L43" i="3" s="1"/>
  <c r="M20" i="2"/>
  <c r="K97" i="4"/>
  <c r="J110" i="4"/>
  <c r="J115" i="4" s="1"/>
  <c r="J132" i="4"/>
  <c r="K95" i="4"/>
  <c r="J121" i="4"/>
  <c r="K104" i="4"/>
  <c r="K135" i="4" s="1"/>
  <c r="K103" i="4"/>
  <c r="K134" i="4" s="1"/>
  <c r="K99" i="4"/>
  <c r="N19" i="2"/>
  <c r="M19" i="3" s="1"/>
  <c r="M106" i="4"/>
  <c r="M126" i="4" s="1"/>
  <c r="L106" i="4"/>
  <c r="L126" i="4" s="1"/>
  <c r="K96" i="4"/>
  <c r="L88" i="4"/>
  <c r="L79" i="4"/>
  <c r="L67" i="4"/>
  <c r="L40" i="4"/>
  <c r="L84" i="4"/>
  <c r="M53" i="4"/>
  <c r="L73" i="4"/>
  <c r="L74" i="4"/>
  <c r="L45" i="4"/>
  <c r="L80" i="4"/>
  <c r="L65" i="4"/>
  <c r="L38" i="4"/>
  <c r="M50" i="4"/>
  <c r="L81" i="4"/>
  <c r="L66" i="4"/>
  <c r="L39" i="4"/>
  <c r="M59" i="4"/>
  <c r="M51" i="4"/>
  <c r="L89" i="4"/>
  <c r="L68" i="4"/>
  <c r="L41" i="4"/>
  <c r="L83" i="4"/>
  <c r="L69" i="4"/>
  <c r="L42" i="4"/>
  <c r="H78" i="14"/>
  <c r="E78" i="14" s="1"/>
  <c r="I78" i="14"/>
  <c r="F78" i="14" s="1"/>
  <c r="I15" i="14"/>
  <c r="F15" i="14" s="1"/>
  <c r="H15" i="14"/>
  <c r="E15" i="14" s="1"/>
  <c r="L64" i="4"/>
  <c r="O107" i="4"/>
  <c r="O127" i="4" s="1"/>
  <c r="P62" i="4"/>
  <c r="H64" i="14"/>
  <c r="E64" i="14" s="1"/>
  <c r="I64" i="14"/>
  <c r="F64" i="14" s="1"/>
  <c r="M52" i="4"/>
  <c r="S63" i="4"/>
  <c r="X88" i="23"/>
  <c r="X88" i="19"/>
  <c r="S79" i="14"/>
  <c r="X25" i="23"/>
  <c r="X25" i="19"/>
  <c r="S16" i="14"/>
  <c r="I85" i="14"/>
  <c r="F85" i="14" s="1"/>
  <c r="H85" i="14"/>
  <c r="E85" i="14" s="1"/>
  <c r="H43" i="14"/>
  <c r="E43" i="14" s="1"/>
  <c r="I43" i="14"/>
  <c r="F43" i="14" s="1"/>
  <c r="X95" i="23"/>
  <c r="X95" i="19"/>
  <c r="S86" i="14"/>
  <c r="O78" i="4"/>
  <c r="N108" i="4"/>
  <c r="N128" i="4" s="1"/>
  <c r="X32" i="23"/>
  <c r="X32" i="19"/>
  <c r="S23" i="14"/>
  <c r="I11" i="12"/>
  <c r="J4" i="12"/>
  <c r="L44" i="4"/>
  <c r="M17" i="4"/>
  <c r="L58" i="4"/>
  <c r="M16" i="4"/>
  <c r="L100" i="3"/>
  <c r="I57" i="14"/>
  <c r="F57" i="14" s="1"/>
  <c r="H57" i="14"/>
  <c r="E57" i="14" s="1"/>
  <c r="M136" i="3"/>
  <c r="N6" i="4"/>
  <c r="O18" i="2"/>
  <c r="K46" i="3"/>
  <c r="K62" i="3" s="1"/>
  <c r="K50" i="3"/>
  <c r="K66" i="3" s="1"/>
  <c r="K39" i="3"/>
  <c r="K55" i="3" s="1"/>
  <c r="K49" i="3"/>
  <c r="K65" i="3" s="1"/>
  <c r="K43" i="3"/>
  <c r="K59" i="3" s="1"/>
  <c r="K47" i="3"/>
  <c r="K63" i="3" s="1"/>
  <c r="K40" i="3"/>
  <c r="K56" i="3" s="1"/>
  <c r="K44" i="3"/>
  <c r="K60" i="3" s="1"/>
  <c r="K42" i="3"/>
  <c r="K58" i="3" s="1"/>
  <c r="K51" i="3"/>
  <c r="K67" i="3" s="1"/>
  <c r="K38" i="3"/>
  <c r="K54" i="3" s="1"/>
  <c r="K45" i="3"/>
  <c r="K61" i="3" s="1"/>
  <c r="K48" i="3"/>
  <c r="K64" i="3" s="1"/>
  <c r="K41" i="3"/>
  <c r="K57" i="3" s="1"/>
  <c r="M79" i="3"/>
  <c r="M95" i="3" s="1"/>
  <c r="M84" i="3"/>
  <c r="M73" i="3"/>
  <c r="M89" i="3" s="1"/>
  <c r="N12" i="4" s="1"/>
  <c r="M77" i="3"/>
  <c r="M93" i="3" s="1"/>
  <c r="N14" i="4" s="1"/>
  <c r="M83" i="3"/>
  <c r="M99" i="3" s="1"/>
  <c r="M71" i="3"/>
  <c r="M87" i="3" s="1"/>
  <c r="N10" i="4" s="1"/>
  <c r="M81" i="3"/>
  <c r="M97" i="3" s="1"/>
  <c r="M74" i="3"/>
  <c r="M90" i="3" s="1"/>
  <c r="N13" i="4" s="1"/>
  <c r="M78" i="3"/>
  <c r="M94" i="3" s="1"/>
  <c r="N15" i="4" s="1"/>
  <c r="M72" i="3"/>
  <c r="M88" i="3" s="1"/>
  <c r="N11" i="4" s="1"/>
  <c r="M80" i="3"/>
  <c r="M96" i="3" s="1"/>
  <c r="M75" i="3"/>
  <c r="M91" i="3" s="1"/>
  <c r="M82" i="3"/>
  <c r="M98" i="3" s="1"/>
  <c r="N18" i="4" s="1"/>
  <c r="M76" i="3"/>
  <c r="M92" i="3" s="1"/>
  <c r="L108" i="3"/>
  <c r="L124" i="3" s="1"/>
  <c r="L110" i="3"/>
  <c r="L126" i="3" s="1"/>
  <c r="M23" i="4" s="1"/>
  <c r="L117" i="3"/>
  <c r="L116" i="3"/>
  <c r="L132" i="3" s="1"/>
  <c r="L104" i="3"/>
  <c r="L120" i="3" s="1"/>
  <c r="M19" i="4" s="1"/>
  <c r="L113" i="3"/>
  <c r="L129" i="3" s="1"/>
  <c r="L107" i="3"/>
  <c r="L123" i="3" s="1"/>
  <c r="M22" i="4" s="1"/>
  <c r="L105" i="3"/>
  <c r="L121" i="3" s="1"/>
  <c r="M20" i="4" s="1"/>
  <c r="L115" i="3"/>
  <c r="L131" i="3" s="1"/>
  <c r="M27" i="4" s="1"/>
  <c r="L109" i="3"/>
  <c r="L125" i="3" s="1"/>
  <c r="L106" i="3"/>
  <c r="L122" i="3" s="1"/>
  <c r="M21" i="4" s="1"/>
  <c r="L111" i="3"/>
  <c r="L127" i="3" s="1"/>
  <c r="M24" i="4" s="1"/>
  <c r="L112" i="3"/>
  <c r="L128" i="3" s="1"/>
  <c r="L114" i="3"/>
  <c r="L130" i="3" s="1"/>
  <c r="M26" i="4" s="1"/>
  <c r="Q101" i="4"/>
  <c r="Q123" i="4" s="1"/>
  <c r="R56" i="4"/>
  <c r="L37" i="4"/>
  <c r="H22" i="14"/>
  <c r="E22" i="14" s="1"/>
  <c r="I22" i="14"/>
  <c r="F22" i="14" s="1"/>
  <c r="M49" i="4"/>
  <c r="L57" i="4"/>
  <c r="X67" i="23"/>
  <c r="X67" i="19"/>
  <c r="S58" i="14"/>
  <c r="O85" i="4"/>
  <c r="N100" i="4"/>
  <c r="N136" i="4" s="1"/>
  <c r="H50" i="14"/>
  <c r="E50" i="14" s="1"/>
  <c r="I50" i="14"/>
  <c r="F50" i="14" s="1"/>
  <c r="P51" i="5"/>
  <c r="O55" i="5"/>
  <c r="K102" i="4"/>
  <c r="X39" i="23"/>
  <c r="X39" i="19"/>
  <c r="S30" i="14"/>
  <c r="J124" i="4"/>
  <c r="M54" i="4"/>
  <c r="N5" i="4"/>
  <c r="O17" i="2"/>
  <c r="M103" i="3"/>
  <c r="I9" i="12"/>
  <c r="J2" i="12"/>
  <c r="H36" i="14"/>
  <c r="E36" i="14" s="1"/>
  <c r="I36" i="14"/>
  <c r="F36" i="14" s="1"/>
  <c r="X60" i="23"/>
  <c r="X60" i="19"/>
  <c r="S51" i="14"/>
  <c r="I10" i="12"/>
  <c r="J3" i="12"/>
  <c r="I71" i="14"/>
  <c r="F71" i="14" s="1"/>
  <c r="H71" i="14"/>
  <c r="E71" i="14" s="1"/>
  <c r="K43" i="4"/>
  <c r="I29" i="14"/>
  <c r="F29" i="14" s="1"/>
  <c r="H29" i="14"/>
  <c r="E29" i="14" s="1"/>
  <c r="L34" i="4"/>
  <c r="L87" i="4" s="1"/>
  <c r="K166" i="3"/>
  <c r="L25" i="4"/>
  <c r="L72" i="4" s="1"/>
  <c r="K133" i="3"/>
  <c r="O4" i="4"/>
  <c r="P16" i="2"/>
  <c r="N70" i="3"/>
  <c r="X53" i="23"/>
  <c r="X53" i="19"/>
  <c r="S44" i="14"/>
  <c r="H8" i="14"/>
  <c r="E8" i="14" s="1"/>
  <c r="I8" i="14"/>
  <c r="F8" i="14" s="1"/>
  <c r="L82" i="4"/>
  <c r="L150" i="3"/>
  <c r="L147" i="3"/>
  <c r="L163" i="3" s="1"/>
  <c r="M35" i="4" s="1"/>
  <c r="L148" i="3"/>
  <c r="L164" i="3" s="1"/>
  <c r="M36" i="4" s="1"/>
  <c r="L146" i="3"/>
  <c r="L162" i="3" s="1"/>
  <c r="L138" i="3"/>
  <c r="L154" i="3" s="1"/>
  <c r="M29" i="4" s="1"/>
  <c r="L137" i="3"/>
  <c r="L153" i="3" s="1"/>
  <c r="M28" i="4" s="1"/>
  <c r="L142" i="3"/>
  <c r="L158" i="3" s="1"/>
  <c r="L145" i="3"/>
  <c r="L161" i="3" s="1"/>
  <c r="L143" i="3"/>
  <c r="L159" i="3" s="1"/>
  <c r="M32" i="4" s="1"/>
  <c r="L140" i="3"/>
  <c r="L156" i="3" s="1"/>
  <c r="M31" i="4" s="1"/>
  <c r="L139" i="3"/>
  <c r="L155" i="3" s="1"/>
  <c r="M30" i="4" s="1"/>
  <c r="L144" i="3"/>
  <c r="L160" i="3" s="1"/>
  <c r="M33" i="4" s="1"/>
  <c r="L141" i="3"/>
  <c r="L157" i="3" s="1"/>
  <c r="L149" i="3"/>
  <c r="L165" i="3" s="1"/>
  <c r="X46" i="23"/>
  <c r="X46" i="19"/>
  <c r="S37" i="14"/>
  <c r="X18" i="23"/>
  <c r="S9" i="14"/>
  <c r="X18" i="19"/>
  <c r="S55" i="4"/>
  <c r="K126" i="4"/>
  <c r="K137" i="4"/>
  <c r="X81" i="23"/>
  <c r="X81" i="19"/>
  <c r="S72" i="14"/>
  <c r="X74" i="23"/>
  <c r="X74" i="19"/>
  <c r="S65" i="14"/>
  <c r="K122" i="4" l="1"/>
  <c r="L38" i="3"/>
  <c r="L45" i="3"/>
  <c r="L47" i="3"/>
  <c r="L63" i="3" s="1"/>
  <c r="L48" i="3"/>
  <c r="L64" i="3" s="1"/>
  <c r="L49" i="3"/>
  <c r="L65" i="3" s="1"/>
  <c r="L50" i="3"/>
  <c r="L66" i="3" s="1"/>
  <c r="L41" i="3"/>
  <c r="L57" i="3" s="1"/>
  <c r="L42" i="3"/>
  <c r="L58" i="3" s="1"/>
  <c r="L40" i="3"/>
  <c r="L56" i="3" s="1"/>
  <c r="L51" i="3"/>
  <c r="L67" i="3" s="1"/>
  <c r="L39" i="3"/>
  <c r="L55" i="3" s="1"/>
  <c r="L46" i="3"/>
  <c r="L62" i="3" s="1"/>
  <c r="L44" i="3"/>
  <c r="L60" i="3" s="1"/>
  <c r="L104" i="4"/>
  <c r="L135" i="4" s="1"/>
  <c r="K121" i="4"/>
  <c r="K133" i="4"/>
  <c r="L59" i="3"/>
  <c r="L96" i="4"/>
  <c r="K120" i="4"/>
  <c r="L137" i="4"/>
  <c r="M137" i="4"/>
  <c r="L95" i="4"/>
  <c r="K110" i="4"/>
  <c r="K115" i="4" s="1"/>
  <c r="K124" i="4"/>
  <c r="L94" i="4"/>
  <c r="L99" i="4"/>
  <c r="M45" i="4"/>
  <c r="K132" i="4"/>
  <c r="L97" i="4"/>
  <c r="N7" i="4"/>
  <c r="L54" i="3"/>
  <c r="L98" i="4"/>
  <c r="N20" i="2"/>
  <c r="N52" i="4"/>
  <c r="M80" i="4"/>
  <c r="M65" i="4"/>
  <c r="M38" i="4"/>
  <c r="M84" i="4"/>
  <c r="N59" i="4"/>
  <c r="M81" i="4"/>
  <c r="M73" i="4"/>
  <c r="M82" i="4"/>
  <c r="N51" i="4"/>
  <c r="M66" i="4"/>
  <c r="M39" i="4"/>
  <c r="M79" i="4"/>
  <c r="N49" i="4"/>
  <c r="M67" i="4"/>
  <c r="M40" i="4"/>
  <c r="M89" i="4"/>
  <c r="N53" i="4"/>
  <c r="M88" i="4"/>
  <c r="M64" i="4"/>
  <c r="M37" i="4"/>
  <c r="M69" i="4"/>
  <c r="M42" i="4"/>
  <c r="N50" i="4"/>
  <c r="H72" i="14"/>
  <c r="E72" i="14" s="1"/>
  <c r="I72" i="14"/>
  <c r="F72" i="14" s="1"/>
  <c r="Q17" i="27"/>
  <c r="R17" i="27" s="1"/>
  <c r="Q12" i="17"/>
  <c r="R12" i="17" s="1"/>
  <c r="M57" i="4"/>
  <c r="I51" i="14"/>
  <c r="F51" i="14" s="1"/>
  <c r="H51" i="14"/>
  <c r="E51" i="14" s="1"/>
  <c r="N103" i="3"/>
  <c r="O5" i="4"/>
  <c r="P17" i="2"/>
  <c r="H44" i="14"/>
  <c r="E44" i="14" s="1"/>
  <c r="I44" i="14"/>
  <c r="F44" i="14" s="1"/>
  <c r="L166" i="3"/>
  <c r="M34" i="4"/>
  <c r="N54" i="4"/>
  <c r="I65" i="14"/>
  <c r="F65" i="14" s="1"/>
  <c r="H65" i="14"/>
  <c r="E65" i="14" s="1"/>
  <c r="L102" i="4"/>
  <c r="R101" i="4"/>
  <c r="R123" i="4" s="1"/>
  <c r="S56" i="4"/>
  <c r="N16" i="4"/>
  <c r="M100" i="3"/>
  <c r="O6" i="4"/>
  <c r="N136" i="3"/>
  <c r="P18" i="2"/>
  <c r="H79" i="14"/>
  <c r="E79" i="14" s="1"/>
  <c r="I79" i="14"/>
  <c r="F79" i="14" s="1"/>
  <c r="P55" i="5"/>
  <c r="Q51" i="5"/>
  <c r="M83" i="4"/>
  <c r="T55" i="4"/>
  <c r="M68" i="4"/>
  <c r="I37" i="14"/>
  <c r="F37" i="14" s="1"/>
  <c r="H37" i="14"/>
  <c r="E37" i="14" s="1"/>
  <c r="H30" i="14"/>
  <c r="E30" i="14" s="1"/>
  <c r="I30" i="14"/>
  <c r="F30" i="14" s="1"/>
  <c r="M25" i="4"/>
  <c r="L133" i="3"/>
  <c r="J11" i="12"/>
  <c r="K4" i="12"/>
  <c r="H86" i="14"/>
  <c r="E86" i="14" s="1"/>
  <c r="I86" i="14"/>
  <c r="F86" i="14" s="1"/>
  <c r="I16" i="14"/>
  <c r="F16" i="14" s="1"/>
  <c r="H16" i="14"/>
  <c r="E16" i="14" s="1"/>
  <c r="L43" i="4"/>
  <c r="O19" i="2"/>
  <c r="J10" i="12"/>
  <c r="K3" i="12"/>
  <c r="L61" i="3"/>
  <c r="P85" i="4"/>
  <c r="O100" i="4"/>
  <c r="O136" i="4" s="1"/>
  <c r="M149" i="3"/>
  <c r="M165" i="3" s="1"/>
  <c r="M140" i="3"/>
  <c r="M156" i="3" s="1"/>
  <c r="N31" i="4" s="1"/>
  <c r="M141" i="3"/>
  <c r="M157" i="3" s="1"/>
  <c r="M143" i="3"/>
  <c r="M159" i="3" s="1"/>
  <c r="N32" i="4" s="1"/>
  <c r="M137" i="3"/>
  <c r="M153" i="3" s="1"/>
  <c r="N28" i="4" s="1"/>
  <c r="M144" i="3"/>
  <c r="M160" i="3" s="1"/>
  <c r="N33" i="4" s="1"/>
  <c r="M150" i="3"/>
  <c r="M147" i="3"/>
  <c r="M163" i="3" s="1"/>
  <c r="N35" i="4" s="1"/>
  <c r="M146" i="3"/>
  <c r="M162" i="3" s="1"/>
  <c r="M145" i="3"/>
  <c r="M161" i="3" s="1"/>
  <c r="M142" i="3"/>
  <c r="M158" i="3" s="1"/>
  <c r="M138" i="3"/>
  <c r="M154" i="3" s="1"/>
  <c r="N29" i="4" s="1"/>
  <c r="M148" i="3"/>
  <c r="M164" i="3" s="1"/>
  <c r="N36" i="4" s="1"/>
  <c r="M139" i="3"/>
  <c r="M155" i="3" s="1"/>
  <c r="N30" i="4" s="1"/>
  <c r="L103" i="4"/>
  <c r="L134" i="4" s="1"/>
  <c r="M41" i="4"/>
  <c r="H9" i="14"/>
  <c r="E9" i="14" s="1"/>
  <c r="I9" i="14"/>
  <c r="F9" i="14" s="1"/>
  <c r="M74" i="4"/>
  <c r="J9" i="12"/>
  <c r="K2" i="12"/>
  <c r="N83" i="3"/>
  <c r="N99" i="3" s="1"/>
  <c r="N77" i="3"/>
  <c r="N93" i="3" s="1"/>
  <c r="O14" i="4" s="1"/>
  <c r="N72" i="3"/>
  <c r="N88" i="3" s="1"/>
  <c r="O11" i="4" s="1"/>
  <c r="N79" i="3"/>
  <c r="N95" i="3" s="1"/>
  <c r="N82" i="3"/>
  <c r="N98" i="3" s="1"/>
  <c r="O18" i="4" s="1"/>
  <c r="N76" i="3"/>
  <c r="N92" i="3" s="1"/>
  <c r="N81" i="3"/>
  <c r="N97" i="3" s="1"/>
  <c r="N71" i="3"/>
  <c r="N87" i="3" s="1"/>
  <c r="O10" i="4" s="1"/>
  <c r="N74" i="3"/>
  <c r="N90" i="3" s="1"/>
  <c r="O13" i="4" s="1"/>
  <c r="N75" i="3"/>
  <c r="N91" i="3" s="1"/>
  <c r="N84" i="3"/>
  <c r="N80" i="3"/>
  <c r="N96" i="3" s="1"/>
  <c r="N78" i="3"/>
  <c r="N94" i="3" s="1"/>
  <c r="O15" i="4" s="1"/>
  <c r="N73" i="3"/>
  <c r="N89" i="3" s="1"/>
  <c r="O12" i="4" s="1"/>
  <c r="O70" i="3"/>
  <c r="P4" i="4"/>
  <c r="Q16" i="2"/>
  <c r="M109" i="3"/>
  <c r="M125" i="3" s="1"/>
  <c r="M111" i="3"/>
  <c r="M127" i="3" s="1"/>
  <c r="N24" i="4" s="1"/>
  <c r="M107" i="3"/>
  <c r="M123" i="3" s="1"/>
  <c r="N22" i="4" s="1"/>
  <c r="M104" i="3"/>
  <c r="M120" i="3" s="1"/>
  <c r="N19" i="4" s="1"/>
  <c r="M116" i="3"/>
  <c r="M132" i="3" s="1"/>
  <c r="M106" i="3"/>
  <c r="M122" i="3" s="1"/>
  <c r="N21" i="4" s="1"/>
  <c r="M110" i="3"/>
  <c r="M126" i="3" s="1"/>
  <c r="N23" i="4" s="1"/>
  <c r="M112" i="3"/>
  <c r="M128" i="3" s="1"/>
  <c r="M114" i="3"/>
  <c r="M130" i="3" s="1"/>
  <c r="N26" i="4" s="1"/>
  <c r="M105" i="3"/>
  <c r="M121" i="3" s="1"/>
  <c r="N20" i="4" s="1"/>
  <c r="M115" i="3"/>
  <c r="M131" i="3" s="1"/>
  <c r="N27" i="4" s="1"/>
  <c r="M117" i="3"/>
  <c r="M113" i="3"/>
  <c r="M129" i="3" s="1"/>
  <c r="M108" i="3"/>
  <c r="M124" i="3" s="1"/>
  <c r="H58" i="14"/>
  <c r="E58" i="14" s="1"/>
  <c r="I58" i="14"/>
  <c r="F58" i="14" s="1"/>
  <c r="N17" i="4"/>
  <c r="M44" i="4"/>
  <c r="M58" i="4"/>
  <c r="H23" i="14"/>
  <c r="E23" i="14" s="1"/>
  <c r="I23" i="14"/>
  <c r="F23" i="14" s="1"/>
  <c r="P78" i="4"/>
  <c r="O108" i="4"/>
  <c r="O128" i="4" s="1"/>
  <c r="T63" i="4"/>
  <c r="P107" i="4"/>
  <c r="P127" i="4" s="1"/>
  <c r="Q62" i="4"/>
  <c r="M41" i="3"/>
  <c r="M49" i="3"/>
  <c r="M48" i="3"/>
  <c r="M64" i="3" s="1"/>
  <c r="M38" i="3"/>
  <c r="M54" i="3" s="1"/>
  <c r="M42" i="3"/>
  <c r="M47" i="3"/>
  <c r="M39" i="3"/>
  <c r="M50" i="3"/>
  <c r="M40" i="3"/>
  <c r="M43" i="3"/>
  <c r="M59" i="3" s="1"/>
  <c r="M45" i="3"/>
  <c r="M61" i="3" s="1"/>
  <c r="M46" i="3"/>
  <c r="M51" i="3"/>
  <c r="M44" i="3"/>
  <c r="M65" i="3" l="1"/>
  <c r="M63" i="3"/>
  <c r="V12" i="23" a="1"/>
  <c r="V230" i="23" s="1"/>
  <c r="Y230" i="23" s="1"/>
  <c r="M66" i="3"/>
  <c r="M57" i="3"/>
  <c r="M56" i="3"/>
  <c r="M58" i="3"/>
  <c r="M55" i="3"/>
  <c r="M67" i="3"/>
  <c r="M60" i="3"/>
  <c r="M62" i="3"/>
  <c r="M98" i="4"/>
  <c r="L122" i="4"/>
  <c r="M94" i="4"/>
  <c r="L110" i="4"/>
  <c r="L115" i="4" s="1"/>
  <c r="L121" i="4"/>
  <c r="L120" i="4"/>
  <c r="L133" i="4"/>
  <c r="M97" i="4"/>
  <c r="N106" i="4"/>
  <c r="M99" i="4"/>
  <c r="L124" i="4"/>
  <c r="M96" i="4"/>
  <c r="M95" i="4"/>
  <c r="O50" i="4"/>
  <c r="N64" i="4"/>
  <c r="N37" i="4"/>
  <c r="N79" i="4"/>
  <c r="N80" i="4"/>
  <c r="N88" i="4"/>
  <c r="N89" i="4"/>
  <c r="N68" i="4"/>
  <c r="N41" i="4"/>
  <c r="O52" i="4"/>
  <c r="N82" i="4"/>
  <c r="N74" i="4"/>
  <c r="N45" i="4"/>
  <c r="N67" i="4"/>
  <c r="N40" i="4"/>
  <c r="N69" i="4"/>
  <c r="N42" i="4"/>
  <c r="O51" i="4"/>
  <c r="V234" i="23"/>
  <c r="Y234" i="23" s="1"/>
  <c r="V202" i="23"/>
  <c r="Y202" i="23" s="1"/>
  <c r="V174" i="23"/>
  <c r="Y174" i="23" s="1"/>
  <c r="V170" i="23"/>
  <c r="Y170" i="23" s="1"/>
  <c r="V138" i="23"/>
  <c r="Y138" i="23" s="1"/>
  <c r="V106" i="23"/>
  <c r="Y106" i="23" s="1"/>
  <c r="V74" i="23"/>
  <c r="Y74" i="23" s="1"/>
  <c r="W214" i="23"/>
  <c r="Z214" i="23" s="1"/>
  <c r="W177" i="23"/>
  <c r="Z177" i="23" s="1"/>
  <c r="W199" i="23"/>
  <c r="Z199" i="23" s="1"/>
  <c r="V160" i="23"/>
  <c r="Y160" i="23" s="1"/>
  <c r="W123" i="23"/>
  <c r="Z123" i="23" s="1"/>
  <c r="V87" i="23"/>
  <c r="Y87" i="23" s="1"/>
  <c r="W51" i="23"/>
  <c r="W19" i="23"/>
  <c r="V204" i="23"/>
  <c r="Y204" i="23" s="1"/>
  <c r="V164" i="23"/>
  <c r="Y164" i="23" s="1"/>
  <c r="W127" i="23"/>
  <c r="Z127" i="23" s="1"/>
  <c r="V91" i="23"/>
  <c r="V55" i="23"/>
  <c r="V23" i="23"/>
  <c r="W208" i="23"/>
  <c r="Z208" i="23" s="1"/>
  <c r="V168" i="23"/>
  <c r="Y168" i="23" s="1"/>
  <c r="W131" i="23"/>
  <c r="Z131" i="23" s="1"/>
  <c r="V95" i="23"/>
  <c r="Y95" i="23" s="1"/>
  <c r="W58" i="23"/>
  <c r="W26" i="23"/>
  <c r="V213" i="23"/>
  <c r="Y213" i="23" s="1"/>
  <c r="V172" i="23"/>
  <c r="Y172" i="23" s="1"/>
  <c r="W135" i="23"/>
  <c r="Z135" i="23" s="1"/>
  <c r="V99" i="23"/>
  <c r="Y99" i="23" s="1"/>
  <c r="W62" i="23"/>
  <c r="V30" i="23"/>
  <c r="W216" i="23"/>
  <c r="Z216" i="23" s="1"/>
  <c r="V175" i="23"/>
  <c r="Y175" i="23" s="1"/>
  <c r="W138" i="23"/>
  <c r="Z138" i="23" s="1"/>
  <c r="W101" i="23"/>
  <c r="Z101" i="23" s="1"/>
  <c r="V65" i="23"/>
  <c r="W32" i="23"/>
  <c r="W186" i="23"/>
  <c r="Z186" i="23" s="1"/>
  <c r="W88" i="23"/>
  <c r="W212" i="23"/>
  <c r="Z212" i="23" s="1"/>
  <c r="W111" i="23"/>
  <c r="Z111" i="23" s="1"/>
  <c r="V20" i="23"/>
  <c r="W134" i="23"/>
  <c r="Z134" i="23" s="1"/>
  <c r="V40" i="23"/>
  <c r="V157" i="23"/>
  <c r="Y157" i="23" s="1"/>
  <c r="V60" i="23"/>
  <c r="Y60" i="23" s="1"/>
  <c r="W180" i="23"/>
  <c r="Z180" i="23" s="1"/>
  <c r="W93" i="23"/>
  <c r="V83" i="23"/>
  <c r="V207" i="23"/>
  <c r="Y207" i="23" s="1"/>
  <c r="W175" i="23"/>
  <c r="Z175" i="23" s="1"/>
  <c r="W166" i="23"/>
  <c r="Z166" i="23" s="1"/>
  <c r="V139" i="23"/>
  <c r="Y139" i="23" s="1"/>
  <c r="V165" i="23"/>
  <c r="Y165" i="23" s="1"/>
  <c r="W129" i="23"/>
  <c r="Z129" i="23" s="1"/>
  <c r="W162" i="23"/>
  <c r="Z162" i="23" s="1"/>
  <c r="W128" i="23"/>
  <c r="Z128" i="23" s="1"/>
  <c r="W125" i="23"/>
  <c r="Z125" i="23" s="1"/>
  <c r="V92" i="23"/>
  <c r="V80" i="23"/>
  <c r="Y80" i="23" s="1"/>
  <c r="W53" i="23"/>
  <c r="W21" i="23"/>
  <c r="W116" i="23"/>
  <c r="Z116" i="23" s="1"/>
  <c r="V221" i="23"/>
  <c r="Y221" i="23" s="1"/>
  <c r="N73" i="4"/>
  <c r="O54" i="4"/>
  <c r="O59" i="4"/>
  <c r="N81" i="4"/>
  <c r="N84" i="4"/>
  <c r="O16" i="4"/>
  <c r="N100" i="3"/>
  <c r="N83" i="4"/>
  <c r="S101" i="4"/>
  <c r="S123" i="4" s="1"/>
  <c r="T56" i="4"/>
  <c r="O53" i="4"/>
  <c r="O49" i="4"/>
  <c r="N66" i="4"/>
  <c r="L132" i="4"/>
  <c r="N34" i="4"/>
  <c r="N87" i="4" s="1"/>
  <c r="M166" i="3"/>
  <c r="Q85" i="4"/>
  <c r="P100" i="4"/>
  <c r="P136" i="4" s="1"/>
  <c r="U55" i="4"/>
  <c r="Q78" i="4"/>
  <c r="P108" i="4"/>
  <c r="P128" i="4" s="1"/>
  <c r="Q19" i="27"/>
  <c r="R19" i="27" s="1"/>
  <c r="Q14" i="17"/>
  <c r="R14" i="17" s="1"/>
  <c r="M87" i="4"/>
  <c r="N65" i="4"/>
  <c r="P70" i="3"/>
  <c r="Q4" i="4"/>
  <c r="R16" i="2"/>
  <c r="V12" i="22" a="1"/>
  <c r="N110" i="3"/>
  <c r="N126" i="3" s="1"/>
  <c r="O23" i="4" s="1"/>
  <c r="N112" i="3"/>
  <c r="N128" i="3" s="1"/>
  <c r="N111" i="3"/>
  <c r="N127" i="3" s="1"/>
  <c r="O24" i="4" s="1"/>
  <c r="N106" i="3"/>
  <c r="N122" i="3" s="1"/>
  <c r="O21" i="4" s="1"/>
  <c r="N108" i="3"/>
  <c r="N124" i="3" s="1"/>
  <c r="N105" i="3"/>
  <c r="N121" i="3" s="1"/>
  <c r="O20" i="4" s="1"/>
  <c r="N109" i="3"/>
  <c r="N125" i="3" s="1"/>
  <c r="N114" i="3"/>
  <c r="N130" i="3" s="1"/>
  <c r="O26" i="4" s="1"/>
  <c r="N113" i="3"/>
  <c r="N129" i="3" s="1"/>
  <c r="N107" i="3"/>
  <c r="N123" i="3" s="1"/>
  <c r="O22" i="4" s="1"/>
  <c r="N104" i="3"/>
  <c r="N120" i="3" s="1"/>
  <c r="O19" i="4" s="1"/>
  <c r="N116" i="3"/>
  <c r="N132" i="3" s="1"/>
  <c r="N117" i="3"/>
  <c r="N115" i="3"/>
  <c r="N131" i="3" s="1"/>
  <c r="O27" i="4" s="1"/>
  <c r="N38" i="4"/>
  <c r="P6" i="4"/>
  <c r="O136" i="3"/>
  <c r="Q18" i="2"/>
  <c r="P5" i="4"/>
  <c r="O103" i="3"/>
  <c r="Q17" i="2"/>
  <c r="L4" i="12"/>
  <c r="K11" i="12"/>
  <c r="R51" i="5"/>
  <c r="Q55" i="5"/>
  <c r="U63" i="4"/>
  <c r="N44" i="4"/>
  <c r="N58" i="4"/>
  <c r="O17" i="4"/>
  <c r="P19" i="2"/>
  <c r="K9" i="12"/>
  <c r="L2" i="12"/>
  <c r="O7" i="4"/>
  <c r="N19" i="3"/>
  <c r="O20" i="2"/>
  <c r="V12" i="19" a="1"/>
  <c r="Q107" i="4"/>
  <c r="Q127" i="4" s="1"/>
  <c r="R62" i="4"/>
  <c r="N39" i="4"/>
  <c r="N126" i="4"/>
  <c r="N137" i="4"/>
  <c r="Q18" i="27"/>
  <c r="R18" i="27" s="1"/>
  <c r="Q13" i="17"/>
  <c r="R13" i="17" s="1"/>
  <c r="M72" i="4"/>
  <c r="M104" i="4"/>
  <c r="M135" i="4" s="1"/>
  <c r="M103" i="4"/>
  <c r="M134" i="4" s="1"/>
  <c r="N25" i="4"/>
  <c r="N72" i="4" s="1"/>
  <c r="M133" i="3"/>
  <c r="K10" i="12"/>
  <c r="L3" i="12"/>
  <c r="N150" i="3"/>
  <c r="N147" i="3"/>
  <c r="N163" i="3" s="1"/>
  <c r="O35" i="4" s="1"/>
  <c r="N139" i="3"/>
  <c r="N155" i="3" s="1"/>
  <c r="O30" i="4" s="1"/>
  <c r="N137" i="3"/>
  <c r="N153" i="3" s="1"/>
  <c r="O28" i="4" s="1"/>
  <c r="N143" i="3"/>
  <c r="N159" i="3" s="1"/>
  <c r="O32" i="4" s="1"/>
  <c r="N148" i="3"/>
  <c r="N164" i="3" s="1"/>
  <c r="O36" i="4" s="1"/>
  <c r="N141" i="3"/>
  <c r="N157" i="3" s="1"/>
  <c r="N138" i="3"/>
  <c r="N154" i="3" s="1"/>
  <c r="O29" i="4" s="1"/>
  <c r="N146" i="3"/>
  <c r="N162" i="3" s="1"/>
  <c r="N142" i="3"/>
  <c r="N158" i="3" s="1"/>
  <c r="N149" i="3"/>
  <c r="N165" i="3" s="1"/>
  <c r="N145" i="3"/>
  <c r="N161" i="3" s="1"/>
  <c r="N140" i="3"/>
  <c r="N156" i="3" s="1"/>
  <c r="O31" i="4" s="1"/>
  <c r="N144" i="3"/>
  <c r="N160" i="3" s="1"/>
  <c r="O33" i="4" s="1"/>
  <c r="M43" i="4"/>
  <c r="O78" i="3"/>
  <c r="O94" i="3" s="1"/>
  <c r="P15" i="4" s="1"/>
  <c r="O80" i="3"/>
  <c r="O96" i="3" s="1"/>
  <c r="O79" i="3"/>
  <c r="O95" i="3" s="1"/>
  <c r="O72" i="3"/>
  <c r="O88" i="3" s="1"/>
  <c r="P11" i="4" s="1"/>
  <c r="O81" i="3"/>
  <c r="O97" i="3" s="1"/>
  <c r="O71" i="3"/>
  <c r="O87" i="3" s="1"/>
  <c r="P10" i="4" s="1"/>
  <c r="O84" i="3"/>
  <c r="O83" i="3"/>
  <c r="O99" i="3" s="1"/>
  <c r="O73" i="3"/>
  <c r="O89" i="3" s="1"/>
  <c r="P12" i="4" s="1"/>
  <c r="O75" i="3"/>
  <c r="O91" i="3" s="1"/>
  <c r="O82" i="3"/>
  <c r="O98" i="3" s="1"/>
  <c r="P18" i="4" s="1"/>
  <c r="O77" i="3"/>
  <c r="O93" i="3" s="1"/>
  <c r="P14" i="4" s="1"/>
  <c r="O76" i="3"/>
  <c r="O92" i="3" s="1"/>
  <c r="O74" i="3"/>
  <c r="O90" i="3" s="1"/>
  <c r="P13" i="4" s="1"/>
  <c r="N57" i="4"/>
  <c r="V147" i="23" l="1"/>
  <c r="Y147" i="23" s="1"/>
  <c r="W36" i="23"/>
  <c r="W106" i="23"/>
  <c r="Z106" i="23" s="1"/>
  <c r="W221" i="23"/>
  <c r="Z221" i="23" s="1"/>
  <c r="V67" i="23"/>
  <c r="Y67" i="23" s="1"/>
  <c r="V140" i="23"/>
  <c r="Y140" i="23" s="1"/>
  <c r="W30" i="23"/>
  <c r="Q30" i="23" s="1"/>
  <c r="T30" i="23" s="1"/>
  <c r="W172" i="23"/>
  <c r="Z172" i="23" s="1"/>
  <c r="V209" i="23"/>
  <c r="Y209" i="23" s="1"/>
  <c r="V78" i="23"/>
  <c r="P78" i="23" s="1"/>
  <c r="S78" i="23" s="1"/>
  <c r="V56" i="23"/>
  <c r="Y56" i="23" s="1"/>
  <c r="W142" i="23"/>
  <c r="Z142" i="23" s="1"/>
  <c r="V116" i="23"/>
  <c r="Y116" i="23" s="1"/>
  <c r="V153" i="23"/>
  <c r="Y153" i="23" s="1"/>
  <c r="V192" i="23"/>
  <c r="Y192" i="23" s="1"/>
  <c r="W202" i="23"/>
  <c r="Z202" i="23" s="1"/>
  <c r="W205" i="23"/>
  <c r="Z205" i="23" s="1"/>
  <c r="V16" i="23"/>
  <c r="P16" i="23" s="1"/>
  <c r="S16" i="23" s="1"/>
  <c r="V107" i="23"/>
  <c r="Y107" i="23" s="1"/>
  <c r="W207" i="23"/>
  <c r="Z207" i="23" s="1"/>
  <c r="V84" i="23"/>
  <c r="P84" i="23" s="1"/>
  <c r="S84" i="23" s="1"/>
  <c r="V181" i="23"/>
  <c r="Y181" i="23" s="1"/>
  <c r="V61" i="23"/>
  <c r="P61" i="23" s="1"/>
  <c r="S61" i="23" s="1"/>
  <c r="W157" i="23"/>
  <c r="Z157" i="23" s="1"/>
  <c r="V41" i="23"/>
  <c r="V135" i="23"/>
  <c r="Y135" i="23" s="1"/>
  <c r="V21" i="23"/>
  <c r="Y21" i="23" s="1"/>
  <c r="V112" i="23"/>
  <c r="Y112" i="23" s="1"/>
  <c r="V216" i="23"/>
  <c r="Y216" i="23" s="1"/>
  <c r="W40" i="23"/>
  <c r="Q40" i="23" s="1"/>
  <c r="T40" i="23" s="1"/>
  <c r="W74" i="23"/>
  <c r="P74" i="23" s="1"/>
  <c r="S74" i="23" s="1"/>
  <c r="V111" i="23"/>
  <c r="Y111" i="23" s="1"/>
  <c r="W147" i="23"/>
  <c r="Z147" i="23" s="1"/>
  <c r="V185" i="23"/>
  <c r="Y185" i="23" s="1"/>
  <c r="V227" i="23"/>
  <c r="Y227" i="23" s="1"/>
  <c r="V38" i="23"/>
  <c r="Y38" i="23" s="1"/>
  <c r="W71" i="23"/>
  <c r="Z71" i="23" s="1"/>
  <c r="V108" i="23"/>
  <c r="Y108" i="23" s="1"/>
  <c r="W144" i="23"/>
  <c r="Z144" i="23" s="1"/>
  <c r="W181" i="23"/>
  <c r="Z181" i="23" s="1"/>
  <c r="V224" i="23"/>
  <c r="Y224" i="23" s="1"/>
  <c r="W34" i="23"/>
  <c r="Q34" i="23" s="1"/>
  <c r="T34" i="23" s="1"/>
  <c r="W67" i="23"/>
  <c r="V104" i="23"/>
  <c r="Y104" i="23" s="1"/>
  <c r="W140" i="23"/>
  <c r="Z140" i="23" s="1"/>
  <c r="V177" i="23"/>
  <c r="Y177" i="23" s="1"/>
  <c r="W219" i="23"/>
  <c r="Z219" i="23" s="1"/>
  <c r="V31" i="23"/>
  <c r="Y31" i="23" s="1"/>
  <c r="W63" i="23"/>
  <c r="Q63" i="23" s="1"/>
  <c r="T63" i="23" s="1"/>
  <c r="V100" i="23"/>
  <c r="Y100" i="23" s="1"/>
  <c r="W136" i="23"/>
  <c r="Z136" i="23" s="1"/>
  <c r="V173" i="23"/>
  <c r="Y173" i="23" s="1"/>
  <c r="V215" i="23"/>
  <c r="Y215" i="23" s="1"/>
  <c r="W27" i="23"/>
  <c r="Q27" i="23" s="1"/>
  <c r="T27" i="23" s="1"/>
  <c r="W59" i="23"/>
  <c r="V96" i="23"/>
  <c r="Y96" i="23" s="1"/>
  <c r="W132" i="23"/>
  <c r="Z132" i="23" s="1"/>
  <c r="V169" i="23"/>
  <c r="Y169" i="23" s="1"/>
  <c r="W210" i="23"/>
  <c r="Z210" i="23" s="1"/>
  <c r="V187" i="23"/>
  <c r="Y187" i="23" s="1"/>
  <c r="W223" i="23"/>
  <c r="Z223" i="23" s="1"/>
  <c r="V82" i="23"/>
  <c r="P82" i="23" s="1"/>
  <c r="S82" i="23" s="1"/>
  <c r="V114" i="23"/>
  <c r="Y114" i="23" s="1"/>
  <c r="V146" i="23"/>
  <c r="Y146" i="23" s="1"/>
  <c r="V178" i="23"/>
  <c r="Y178" i="23" s="1"/>
  <c r="V210" i="23"/>
  <c r="Y210" i="23" s="1"/>
  <c r="V89" i="23"/>
  <c r="P89" i="23" s="1"/>
  <c r="S89" i="23" s="1"/>
  <c r="V25" i="23"/>
  <c r="Y25" i="23" s="1"/>
  <c r="W151" i="23"/>
  <c r="Z151" i="23" s="1"/>
  <c r="V191" i="23"/>
  <c r="Y191" i="23" s="1"/>
  <c r="W233" i="23"/>
  <c r="Z233" i="23" s="1"/>
  <c r="W234" i="23"/>
  <c r="Z234" i="23" s="1"/>
  <c r="W13" i="23"/>
  <c r="W25" i="23"/>
  <c r="W119" i="23"/>
  <c r="Z119" i="23" s="1"/>
  <c r="W222" i="23"/>
  <c r="Z222" i="23" s="1"/>
  <c r="W96" i="23"/>
  <c r="Z96" i="23" s="1"/>
  <c r="W196" i="23"/>
  <c r="Z196" i="23" s="1"/>
  <c r="W73" i="23"/>
  <c r="V171" i="23"/>
  <c r="Y171" i="23" s="1"/>
  <c r="V52" i="23"/>
  <c r="Y52" i="23" s="1"/>
  <c r="V148" i="23"/>
  <c r="Y148" i="23" s="1"/>
  <c r="V32" i="23"/>
  <c r="Y32" i="23" s="1"/>
  <c r="V125" i="23"/>
  <c r="Y125" i="23" s="1"/>
  <c r="W228" i="23"/>
  <c r="Z228" i="23" s="1"/>
  <c r="W44" i="23"/>
  <c r="Q44" i="23" s="1"/>
  <c r="T44" i="23" s="1"/>
  <c r="V79" i="23"/>
  <c r="Y79" i="23" s="1"/>
  <c r="W115" i="23"/>
  <c r="Z115" i="23" s="1"/>
  <c r="V152" i="23"/>
  <c r="Y152" i="23" s="1"/>
  <c r="W190" i="23"/>
  <c r="Z190" i="23" s="1"/>
  <c r="V233" i="23"/>
  <c r="Y233" i="23" s="1"/>
  <c r="V42" i="23"/>
  <c r="P42" i="23" s="1"/>
  <c r="S42" i="23" s="1"/>
  <c r="V76" i="23"/>
  <c r="P76" i="23" s="1"/>
  <c r="S76" i="23" s="1"/>
  <c r="W112" i="23"/>
  <c r="Z112" i="23" s="1"/>
  <c r="V149" i="23"/>
  <c r="Y149" i="23" s="1"/>
  <c r="W187" i="23"/>
  <c r="Z187" i="23" s="1"/>
  <c r="V229" i="23"/>
  <c r="Y229" i="23" s="1"/>
  <c r="W38" i="23"/>
  <c r="V72" i="23"/>
  <c r="Y72" i="23" s="1"/>
  <c r="W108" i="23"/>
  <c r="Z108" i="23" s="1"/>
  <c r="V145" i="23"/>
  <c r="Y145" i="23" s="1"/>
  <c r="V183" i="23"/>
  <c r="Y183" i="23" s="1"/>
  <c r="W224" i="23"/>
  <c r="Z224" i="23" s="1"/>
  <c r="V35" i="23"/>
  <c r="P35" i="23" s="1"/>
  <c r="S35" i="23" s="1"/>
  <c r="V68" i="23"/>
  <c r="P68" i="23" s="1"/>
  <c r="S68" i="23" s="1"/>
  <c r="W104" i="23"/>
  <c r="Z104" i="23" s="1"/>
  <c r="V141" i="23"/>
  <c r="Y141" i="23" s="1"/>
  <c r="W178" i="23"/>
  <c r="Z178" i="23" s="1"/>
  <c r="V220" i="23"/>
  <c r="Y220" i="23" s="1"/>
  <c r="W31" i="23"/>
  <c r="V64" i="23"/>
  <c r="Y64" i="23" s="1"/>
  <c r="W100" i="23"/>
  <c r="Z100" i="23" s="1"/>
  <c r="V137" i="23"/>
  <c r="Y137" i="23" s="1"/>
  <c r="W173" i="23"/>
  <c r="Z173" i="23" s="1"/>
  <c r="W215" i="23"/>
  <c r="Z215" i="23" s="1"/>
  <c r="W191" i="23"/>
  <c r="Z191" i="23" s="1"/>
  <c r="V228" i="23"/>
  <c r="Y228" i="23" s="1"/>
  <c r="V86" i="23"/>
  <c r="Y86" i="23" s="1"/>
  <c r="V118" i="23"/>
  <c r="Y118" i="23" s="1"/>
  <c r="V150" i="23"/>
  <c r="Y150" i="23" s="1"/>
  <c r="V182" i="23"/>
  <c r="Y182" i="23" s="1"/>
  <c r="V214" i="23"/>
  <c r="Y214" i="23" s="1"/>
  <c r="V195" i="23"/>
  <c r="Y195" i="23" s="1"/>
  <c r="W169" i="23"/>
  <c r="Z169" i="23" s="1"/>
  <c r="W29" i="23"/>
  <c r="Q29" i="23" s="1"/>
  <c r="T29" i="23" s="1"/>
  <c r="W227" i="23"/>
  <c r="Z227" i="23" s="1"/>
  <c r="W201" i="23"/>
  <c r="Z201" i="23" s="1"/>
  <c r="V180" i="23"/>
  <c r="Y180" i="23" s="1"/>
  <c r="W218" i="23"/>
  <c r="Z218" i="23" s="1"/>
  <c r="W23" i="23"/>
  <c r="Q23" i="23" s="1"/>
  <c r="T23" i="23" s="1"/>
  <c r="W189" i="23"/>
  <c r="Z189" i="23" s="1"/>
  <c r="W152" i="23"/>
  <c r="Z152" i="23" s="1"/>
  <c r="W179" i="23"/>
  <c r="Z179" i="23" s="1"/>
  <c r="V232" i="23"/>
  <c r="Y232" i="23" s="1"/>
  <c r="W12" i="23"/>
  <c r="Z12" i="23" s="1"/>
  <c r="V13" i="23"/>
  <c r="P13" i="23" s="1"/>
  <c r="S13" i="23" s="1"/>
  <c r="V45" i="23"/>
  <c r="Y45" i="23" s="1"/>
  <c r="V37" i="23"/>
  <c r="P37" i="23" s="1"/>
  <c r="S37" i="23" s="1"/>
  <c r="W130" i="23"/>
  <c r="Z130" i="23" s="1"/>
  <c r="V17" i="23"/>
  <c r="Y17" i="23" s="1"/>
  <c r="W107" i="23"/>
  <c r="Z107" i="23" s="1"/>
  <c r="V211" i="23"/>
  <c r="Y211" i="23" s="1"/>
  <c r="W84" i="23"/>
  <c r="Z84" i="23" s="1"/>
  <c r="W184" i="23"/>
  <c r="Z184" i="23" s="1"/>
  <c r="W61" i="23"/>
  <c r="W160" i="23"/>
  <c r="Z160" i="23" s="1"/>
  <c r="W41" i="23"/>
  <c r="Q41" i="23" s="1"/>
  <c r="T41" i="23" s="1"/>
  <c r="W137" i="23"/>
  <c r="Z137" i="23" s="1"/>
  <c r="W16" i="23"/>
  <c r="W48" i="23"/>
  <c r="Q48" i="23" s="1"/>
  <c r="T48" i="23" s="1"/>
  <c r="W83" i="23"/>
  <c r="Z83" i="23" s="1"/>
  <c r="V120" i="23"/>
  <c r="Y120" i="23" s="1"/>
  <c r="W156" i="23"/>
  <c r="Z156" i="23" s="1"/>
  <c r="W195" i="23"/>
  <c r="Z195" i="23" s="1"/>
  <c r="V14" i="23"/>
  <c r="P14" i="23" s="1"/>
  <c r="S14" i="23" s="1"/>
  <c r="V46" i="23"/>
  <c r="Y46" i="23" s="1"/>
  <c r="W80" i="23"/>
  <c r="Z80" i="23" s="1"/>
  <c r="V117" i="23"/>
  <c r="Y117" i="23" s="1"/>
  <c r="W153" i="23"/>
  <c r="Z153" i="23" s="1"/>
  <c r="W192" i="23"/>
  <c r="Z192" i="23" s="1"/>
  <c r="V235" i="23"/>
  <c r="Y235" i="23" s="1"/>
  <c r="W42" i="23"/>
  <c r="Q42" i="23" s="1"/>
  <c r="T42" i="23" s="1"/>
  <c r="W76" i="23"/>
  <c r="Z76" i="23" s="1"/>
  <c r="V113" i="23"/>
  <c r="Y113" i="23" s="1"/>
  <c r="W149" i="23"/>
  <c r="Z149" i="23" s="1"/>
  <c r="V188" i="23"/>
  <c r="Y188" i="23" s="1"/>
  <c r="W229" i="23"/>
  <c r="Z229" i="23" s="1"/>
  <c r="V39" i="23"/>
  <c r="Y39" i="23" s="1"/>
  <c r="W72" i="23"/>
  <c r="V109" i="23"/>
  <c r="Y109" i="23" s="1"/>
  <c r="W145" i="23"/>
  <c r="Z145" i="23" s="1"/>
  <c r="W183" i="23"/>
  <c r="Z183" i="23" s="1"/>
  <c r="V225" i="23"/>
  <c r="Y225" i="23" s="1"/>
  <c r="W35" i="23"/>
  <c r="Q35" i="23" s="1"/>
  <c r="T35" i="23" s="1"/>
  <c r="W68" i="23"/>
  <c r="Z68" i="23" s="1"/>
  <c r="V105" i="23"/>
  <c r="Y105" i="23" s="1"/>
  <c r="W141" i="23"/>
  <c r="Z141" i="23" s="1"/>
  <c r="V179" i="23"/>
  <c r="Y179" i="23" s="1"/>
  <c r="W220" i="23"/>
  <c r="Z220" i="23" s="1"/>
  <c r="V196" i="23"/>
  <c r="Y196" i="23" s="1"/>
  <c r="W232" i="23"/>
  <c r="Z232" i="23" s="1"/>
  <c r="V90" i="23"/>
  <c r="Y90" i="23" s="1"/>
  <c r="V122" i="23"/>
  <c r="Y122" i="23" s="1"/>
  <c r="V154" i="23"/>
  <c r="Y154" i="23" s="1"/>
  <c r="V186" i="23"/>
  <c r="Y186" i="23" s="1"/>
  <c r="V218" i="23"/>
  <c r="Y218" i="23" s="1"/>
  <c r="W79" i="23"/>
  <c r="Q79" i="23" s="1"/>
  <c r="T79" i="23" s="1"/>
  <c r="W45" i="23"/>
  <c r="P45" i="23" s="1"/>
  <c r="S45" i="23" s="1"/>
  <c r="W217" i="23"/>
  <c r="Z217" i="23" s="1"/>
  <c r="W33" i="23"/>
  <c r="Q33" i="23" s="1"/>
  <c r="T33" i="23" s="1"/>
  <c r="V36" i="23"/>
  <c r="Y36" i="23" s="1"/>
  <c r="V44" i="23"/>
  <c r="Y44" i="23" s="1"/>
  <c r="W78" i="23"/>
  <c r="V48" i="23"/>
  <c r="W143" i="23"/>
  <c r="Z143" i="23" s="1"/>
  <c r="V28" i="23"/>
  <c r="Y28" i="23" s="1"/>
  <c r="W120" i="23"/>
  <c r="Z120" i="23" s="1"/>
  <c r="V223" i="23"/>
  <c r="Y223" i="23" s="1"/>
  <c r="W97" i="23"/>
  <c r="Z97" i="23" s="1"/>
  <c r="V197" i="23"/>
  <c r="Y197" i="23" s="1"/>
  <c r="V75" i="23"/>
  <c r="P75" i="23" s="1"/>
  <c r="S75" i="23" s="1"/>
  <c r="W171" i="23"/>
  <c r="Z171" i="23" s="1"/>
  <c r="V53" i="23"/>
  <c r="Y53" i="23" s="1"/>
  <c r="W148" i="23"/>
  <c r="Z148" i="23" s="1"/>
  <c r="W20" i="23"/>
  <c r="Z20" i="23" s="1"/>
  <c r="W52" i="23"/>
  <c r="V88" i="23"/>
  <c r="Y88" i="23" s="1"/>
  <c r="W124" i="23"/>
  <c r="Z124" i="23" s="1"/>
  <c r="V161" i="23"/>
  <c r="Y161" i="23" s="1"/>
  <c r="V201" i="23"/>
  <c r="Y201" i="23" s="1"/>
  <c r="V18" i="23"/>
  <c r="Y18" i="23" s="1"/>
  <c r="V50" i="23"/>
  <c r="P50" i="23" s="1"/>
  <c r="S50" i="23" s="1"/>
  <c r="V85" i="23"/>
  <c r="P85" i="23" s="1"/>
  <c r="S85" i="23" s="1"/>
  <c r="W121" i="23"/>
  <c r="Z121" i="23" s="1"/>
  <c r="W158" i="23"/>
  <c r="Z158" i="23" s="1"/>
  <c r="W197" i="23"/>
  <c r="Z197" i="23" s="1"/>
  <c r="W14" i="23"/>
  <c r="W46" i="23"/>
  <c r="V81" i="23"/>
  <c r="Y81" i="23" s="1"/>
  <c r="W117" i="23"/>
  <c r="Z117" i="23" s="1"/>
  <c r="W154" i="23"/>
  <c r="Z154" i="23" s="1"/>
  <c r="V193" i="23"/>
  <c r="Y193" i="23" s="1"/>
  <c r="W235" i="23"/>
  <c r="Z235" i="23" s="1"/>
  <c r="V43" i="23"/>
  <c r="Y43" i="23" s="1"/>
  <c r="V77" i="23"/>
  <c r="P77" i="23" s="1"/>
  <c r="S77" i="23" s="1"/>
  <c r="W113" i="23"/>
  <c r="Z113" i="23" s="1"/>
  <c r="W150" i="23"/>
  <c r="Z150" i="23" s="1"/>
  <c r="W188" i="23"/>
  <c r="Z188" i="23" s="1"/>
  <c r="W230" i="23"/>
  <c r="Z230" i="23" s="1"/>
  <c r="W39" i="23"/>
  <c r="V73" i="23"/>
  <c r="Y73" i="23" s="1"/>
  <c r="W109" i="23"/>
  <c r="Z109" i="23" s="1"/>
  <c r="W146" i="23"/>
  <c r="Z146" i="23" s="1"/>
  <c r="V184" i="23"/>
  <c r="Y184" i="23" s="1"/>
  <c r="W225" i="23"/>
  <c r="Z225" i="23" s="1"/>
  <c r="W200" i="23"/>
  <c r="Z200" i="23" s="1"/>
  <c r="V62" i="23"/>
  <c r="P62" i="23" s="1"/>
  <c r="S62" i="23" s="1"/>
  <c r="V94" i="23"/>
  <c r="Y94" i="23" s="1"/>
  <c r="V126" i="23"/>
  <c r="Y126" i="23" s="1"/>
  <c r="V158" i="23"/>
  <c r="Y158" i="23" s="1"/>
  <c r="V190" i="23"/>
  <c r="Y190" i="23" s="1"/>
  <c r="V222" i="23"/>
  <c r="Y222" i="23" s="1"/>
  <c r="V71" i="23"/>
  <c r="P71" i="23" s="1"/>
  <c r="S71" i="23" s="1"/>
  <c r="W49" i="23"/>
  <c r="Z49" i="23" s="1"/>
  <c r="V124" i="23"/>
  <c r="Y124" i="23" s="1"/>
  <c r="V101" i="23"/>
  <c r="Y101" i="23" s="1"/>
  <c r="W69" i="23"/>
  <c r="Q69" i="23" s="1"/>
  <c r="T69" i="23" s="1"/>
  <c r="V143" i="23"/>
  <c r="Y143" i="23" s="1"/>
  <c r="V34" i="23"/>
  <c r="Y34" i="23" s="1"/>
  <c r="W103" i="23"/>
  <c r="Z103" i="23" s="1"/>
  <c r="W176" i="23"/>
  <c r="Z176" i="23" s="1"/>
  <c r="V63" i="23"/>
  <c r="P63" i="23" s="1"/>
  <c r="S63" i="23" s="1"/>
  <c r="W99" i="23"/>
  <c r="Z99" i="23" s="1"/>
  <c r="V136" i="23"/>
  <c r="Y136" i="23" s="1"/>
  <c r="W213" i="23"/>
  <c r="Z213" i="23" s="1"/>
  <c r="V27" i="23"/>
  <c r="P27" i="23" s="1"/>
  <c r="S27" i="23" s="1"/>
  <c r="V59" i="23"/>
  <c r="Y59" i="23" s="1"/>
  <c r="W95" i="23"/>
  <c r="P95" i="23" s="1"/>
  <c r="S95" i="23" s="1"/>
  <c r="V132" i="23"/>
  <c r="Y132" i="23" s="1"/>
  <c r="W168" i="23"/>
  <c r="Z168" i="23" s="1"/>
  <c r="W55" i="23"/>
  <c r="Q55" i="23" s="1"/>
  <c r="T55" i="23" s="1"/>
  <c r="W91" i="23"/>
  <c r="Q91" i="23" s="1"/>
  <c r="T91" i="23" s="1"/>
  <c r="V128" i="23"/>
  <c r="Y128" i="23" s="1"/>
  <c r="W164" i="23"/>
  <c r="Z164" i="23" s="1"/>
  <c r="W204" i="23"/>
  <c r="Z204" i="23" s="1"/>
  <c r="W182" i="23"/>
  <c r="Z182" i="23" s="1"/>
  <c r="V219" i="23"/>
  <c r="Y219" i="23" s="1"/>
  <c r="V110" i="23"/>
  <c r="Y110" i="23" s="1"/>
  <c r="V142" i="23"/>
  <c r="Y142" i="23" s="1"/>
  <c r="V206" i="23"/>
  <c r="Y206" i="23" s="1"/>
  <c r="V217" i="23"/>
  <c r="Y217" i="23" s="1"/>
  <c r="V176" i="23"/>
  <c r="Y176" i="23" s="1"/>
  <c r="V33" i="23"/>
  <c r="P33" i="23" s="1"/>
  <c r="S33" i="23" s="1"/>
  <c r="W65" i="23"/>
  <c r="Z65" i="23" s="1"/>
  <c r="W66" i="23"/>
  <c r="Z66" i="23" s="1"/>
  <c r="V69" i="23"/>
  <c r="Y69" i="23" s="1"/>
  <c r="W105" i="23"/>
  <c r="Z105" i="23" s="1"/>
  <c r="W57" i="23"/>
  <c r="Q57" i="23" s="1"/>
  <c r="T57" i="23" s="1"/>
  <c r="V156" i="23"/>
  <c r="Y156" i="23" s="1"/>
  <c r="W37" i="23"/>
  <c r="Q37" i="23" s="1"/>
  <c r="T37" i="23" s="1"/>
  <c r="V133" i="23"/>
  <c r="Y133" i="23" s="1"/>
  <c r="W17" i="23"/>
  <c r="Z17" i="23" s="1"/>
  <c r="W110" i="23"/>
  <c r="Z110" i="23" s="1"/>
  <c r="V212" i="23"/>
  <c r="Y212" i="23" s="1"/>
  <c r="W87" i="23"/>
  <c r="Z87" i="23" s="1"/>
  <c r="W185" i="23"/>
  <c r="Z185" i="23" s="1"/>
  <c r="W64" i="23"/>
  <c r="Z64" i="23" s="1"/>
  <c r="W161" i="23"/>
  <c r="Z161" i="23" s="1"/>
  <c r="W24" i="23"/>
  <c r="Z24" i="23" s="1"/>
  <c r="W56" i="23"/>
  <c r="Q56" i="23" s="1"/>
  <c r="T56" i="23" s="1"/>
  <c r="W92" i="23"/>
  <c r="Q92" i="23" s="1"/>
  <c r="T92" i="23" s="1"/>
  <c r="V129" i="23"/>
  <c r="Y129" i="23" s="1"/>
  <c r="W165" i="23"/>
  <c r="Z165" i="23" s="1"/>
  <c r="W206" i="23"/>
  <c r="Z206" i="23" s="1"/>
  <c r="V22" i="23"/>
  <c r="P22" i="23" s="1"/>
  <c r="S22" i="23" s="1"/>
  <c r="V54" i="23"/>
  <c r="Y54" i="23" s="1"/>
  <c r="W89" i="23"/>
  <c r="Q89" i="23" s="1"/>
  <c r="T89" i="23" s="1"/>
  <c r="W126" i="23"/>
  <c r="Z126" i="23" s="1"/>
  <c r="V163" i="23"/>
  <c r="Y163" i="23" s="1"/>
  <c r="V203" i="23"/>
  <c r="Y203" i="23" s="1"/>
  <c r="W18" i="23"/>
  <c r="Z18" i="23" s="1"/>
  <c r="W50" i="23"/>
  <c r="Q50" i="23" s="1"/>
  <c r="T50" i="23" s="1"/>
  <c r="W85" i="23"/>
  <c r="Q85" i="23" s="1"/>
  <c r="T85" i="23" s="1"/>
  <c r="W122" i="23"/>
  <c r="Z122" i="23" s="1"/>
  <c r="V159" i="23"/>
  <c r="Y159" i="23" s="1"/>
  <c r="W198" i="23"/>
  <c r="Z198" i="23" s="1"/>
  <c r="V15" i="23"/>
  <c r="P15" i="23" s="1"/>
  <c r="S15" i="23" s="1"/>
  <c r="V47" i="23"/>
  <c r="P47" i="23" s="1"/>
  <c r="S47" i="23" s="1"/>
  <c r="W81" i="23"/>
  <c r="Z81" i="23" s="1"/>
  <c r="W118" i="23"/>
  <c r="Z118" i="23" s="1"/>
  <c r="V155" i="23"/>
  <c r="Y155" i="23" s="1"/>
  <c r="W193" i="23"/>
  <c r="Z193" i="23" s="1"/>
  <c r="V12" i="23"/>
  <c r="W43" i="23"/>
  <c r="Q43" i="23" s="1"/>
  <c r="T43" i="23" s="1"/>
  <c r="W77" i="23"/>
  <c r="Z77" i="23" s="1"/>
  <c r="W114" i="23"/>
  <c r="Z114" i="23" s="1"/>
  <c r="V151" i="23"/>
  <c r="Y151" i="23" s="1"/>
  <c r="V189" i="23"/>
  <c r="Y189" i="23" s="1"/>
  <c r="V231" i="23"/>
  <c r="Y231" i="23" s="1"/>
  <c r="V205" i="23"/>
  <c r="Y205" i="23" s="1"/>
  <c r="V66" i="23"/>
  <c r="Y66" i="23" s="1"/>
  <c r="V98" i="23"/>
  <c r="Y98" i="23" s="1"/>
  <c r="V130" i="23"/>
  <c r="Y130" i="23" s="1"/>
  <c r="V162" i="23"/>
  <c r="Y162" i="23" s="1"/>
  <c r="V194" i="23"/>
  <c r="Y194" i="23" s="1"/>
  <c r="V226" i="23"/>
  <c r="Y226" i="23" s="1"/>
  <c r="V115" i="23"/>
  <c r="Y115" i="23" s="1"/>
  <c r="V24" i="23"/>
  <c r="Y24" i="23" s="1"/>
  <c r="V57" i="23"/>
  <c r="P57" i="23" s="1"/>
  <c r="S57" i="23" s="1"/>
  <c r="V93" i="23"/>
  <c r="Y93" i="23" s="1"/>
  <c r="W102" i="23"/>
  <c r="Z102" i="23" s="1"/>
  <c r="V103" i="23"/>
  <c r="Y103" i="23" s="1"/>
  <c r="W139" i="23"/>
  <c r="Z139" i="23" s="1"/>
  <c r="W70" i="23"/>
  <c r="Q70" i="23" s="1"/>
  <c r="T70" i="23" s="1"/>
  <c r="V167" i="23"/>
  <c r="Y167" i="23" s="1"/>
  <c r="V49" i="23"/>
  <c r="Y49" i="23" s="1"/>
  <c r="V144" i="23"/>
  <c r="Y144" i="23" s="1"/>
  <c r="V29" i="23"/>
  <c r="Y29" i="23" s="1"/>
  <c r="V121" i="23"/>
  <c r="Y121" i="23" s="1"/>
  <c r="W226" i="23"/>
  <c r="Z226" i="23" s="1"/>
  <c r="W98" i="23"/>
  <c r="Z98" i="23" s="1"/>
  <c r="V200" i="23"/>
  <c r="Y200" i="23" s="1"/>
  <c r="W75" i="23"/>
  <c r="Z75" i="23" s="1"/>
  <c r="W174" i="23"/>
  <c r="Z174" i="23" s="1"/>
  <c r="W28" i="23"/>
  <c r="Z28" i="23" s="1"/>
  <c r="W60" i="23"/>
  <c r="P60" i="23" s="1"/>
  <c r="S60" i="23" s="1"/>
  <c r="V97" i="23"/>
  <c r="Y97" i="23" s="1"/>
  <c r="W133" i="23"/>
  <c r="Z133" i="23" s="1"/>
  <c r="W170" i="23"/>
  <c r="Z170" i="23" s="1"/>
  <c r="W211" i="23"/>
  <c r="Z211" i="23" s="1"/>
  <c r="V26" i="23"/>
  <c r="P26" i="23" s="1"/>
  <c r="S26" i="23" s="1"/>
  <c r="V58" i="23"/>
  <c r="P58" i="23" s="1"/>
  <c r="S58" i="23" s="1"/>
  <c r="W94" i="23"/>
  <c r="Z94" i="23" s="1"/>
  <c r="V131" i="23"/>
  <c r="Y131" i="23" s="1"/>
  <c r="W167" i="23"/>
  <c r="Z167" i="23" s="1"/>
  <c r="V208" i="23"/>
  <c r="Y208" i="23" s="1"/>
  <c r="W22" i="23"/>
  <c r="Q22" i="23" s="1"/>
  <c r="T22" i="23" s="1"/>
  <c r="W54" i="23"/>
  <c r="Q54" i="23" s="1"/>
  <c r="T54" i="23" s="1"/>
  <c r="W90" i="23"/>
  <c r="Q90" i="23" s="1"/>
  <c r="T90" i="23" s="1"/>
  <c r="V127" i="23"/>
  <c r="Y127" i="23" s="1"/>
  <c r="W163" i="23"/>
  <c r="Z163" i="23" s="1"/>
  <c r="W203" i="23"/>
  <c r="Z203" i="23" s="1"/>
  <c r="V19" i="23"/>
  <c r="Y19" i="23" s="1"/>
  <c r="V51" i="23"/>
  <c r="W86" i="23"/>
  <c r="Q86" i="23" s="1"/>
  <c r="T86" i="23" s="1"/>
  <c r="V123" i="23"/>
  <c r="Y123" i="23" s="1"/>
  <c r="W159" i="23"/>
  <c r="Z159" i="23" s="1"/>
  <c r="V199" i="23"/>
  <c r="Y199" i="23" s="1"/>
  <c r="W15" i="23"/>
  <c r="Q15" i="23" s="1"/>
  <c r="T15" i="23" s="1"/>
  <c r="W47" i="23"/>
  <c r="Z47" i="23" s="1"/>
  <c r="W82" i="23"/>
  <c r="Q82" i="23" s="1"/>
  <c r="T82" i="23" s="1"/>
  <c r="V119" i="23"/>
  <c r="Y119" i="23" s="1"/>
  <c r="W155" i="23"/>
  <c r="Z155" i="23" s="1"/>
  <c r="W194" i="23"/>
  <c r="Z194" i="23" s="1"/>
  <c r="W231" i="23"/>
  <c r="Z231" i="23" s="1"/>
  <c r="W209" i="23"/>
  <c r="Z209" i="23" s="1"/>
  <c r="V70" i="23"/>
  <c r="P70" i="23" s="1"/>
  <c r="S70" i="23" s="1"/>
  <c r="V102" i="23"/>
  <c r="Y102" i="23" s="1"/>
  <c r="V134" i="23"/>
  <c r="Y134" i="23" s="1"/>
  <c r="V166" i="23"/>
  <c r="Y166" i="23" s="1"/>
  <c r="V198" i="23"/>
  <c r="Y198" i="23" s="1"/>
  <c r="M122" i="4"/>
  <c r="M120" i="4"/>
  <c r="M110" i="4"/>
  <c r="M115" i="4" s="1"/>
  <c r="M121" i="4"/>
  <c r="M133" i="4"/>
  <c r="N104" i="4"/>
  <c r="N135" i="4" s="1"/>
  <c r="N103" i="4"/>
  <c r="N134" i="4" s="1"/>
  <c r="N99" i="4"/>
  <c r="N98" i="4"/>
  <c r="N95" i="4"/>
  <c r="N94" i="4"/>
  <c r="Q19" i="2"/>
  <c r="Q7" i="4" s="1"/>
  <c r="N96" i="4"/>
  <c r="N97" i="4"/>
  <c r="N43" i="4"/>
  <c r="M102" i="4"/>
  <c r="M124" i="4" s="1"/>
  <c r="P51" i="4"/>
  <c r="O80" i="4"/>
  <c r="O84" i="4"/>
  <c r="O82" i="4"/>
  <c r="P54" i="4"/>
  <c r="O68" i="4"/>
  <c r="O41" i="4"/>
  <c r="P49" i="4"/>
  <c r="O74" i="4"/>
  <c r="O45" i="4"/>
  <c r="P53" i="4"/>
  <c r="P50" i="4"/>
  <c r="P59" i="4"/>
  <c r="O66" i="4"/>
  <c r="O39" i="4"/>
  <c r="P52" i="4"/>
  <c r="O88" i="4"/>
  <c r="O64" i="4"/>
  <c r="O37" i="4"/>
  <c r="P16" i="4"/>
  <c r="O100" i="3"/>
  <c r="S51" i="5"/>
  <c r="R55" i="5"/>
  <c r="O25" i="4"/>
  <c r="O72" i="4" s="1"/>
  <c r="N133" i="3"/>
  <c r="V55" i="4"/>
  <c r="O73" i="4"/>
  <c r="O79" i="4"/>
  <c r="O106" i="4"/>
  <c r="Z88" i="23"/>
  <c r="O67" i="4"/>
  <c r="R85" i="4"/>
  <c r="Q100" i="4"/>
  <c r="Q136" i="4" s="1"/>
  <c r="Q21" i="23"/>
  <c r="T21" i="23" s="1"/>
  <c r="Z21" i="23"/>
  <c r="Q93" i="23"/>
  <c r="T93" i="23" s="1"/>
  <c r="Z93" i="23"/>
  <c r="Q36" i="23"/>
  <c r="T36" i="23" s="1"/>
  <c r="Z36" i="23"/>
  <c r="O58" i="4"/>
  <c r="O44" i="4"/>
  <c r="P17" i="4"/>
  <c r="O83" i="4"/>
  <c r="Z53" i="23"/>
  <c r="P83" i="23"/>
  <c r="S83" i="23" s="1"/>
  <c r="Y83" i="23"/>
  <c r="P40" i="23"/>
  <c r="S40" i="23" s="1"/>
  <c r="Y40" i="23"/>
  <c r="P65" i="23"/>
  <c r="S65" i="23" s="1"/>
  <c r="Y65" i="23"/>
  <c r="Q58" i="23"/>
  <c r="T58" i="23" s="1"/>
  <c r="Z58" i="23"/>
  <c r="P55" i="23"/>
  <c r="S55" i="23" s="1"/>
  <c r="Y55" i="23"/>
  <c r="P91" i="23"/>
  <c r="S91" i="23" s="1"/>
  <c r="Y91" i="23"/>
  <c r="Q19" i="23"/>
  <c r="T19" i="23" s="1"/>
  <c r="Z19" i="23"/>
  <c r="N47" i="3"/>
  <c r="N63" i="3" s="1"/>
  <c r="N49" i="3"/>
  <c r="N65" i="3" s="1"/>
  <c r="N40" i="3"/>
  <c r="N56" i="3" s="1"/>
  <c r="N51" i="3"/>
  <c r="N67" i="3" s="1"/>
  <c r="N50" i="3"/>
  <c r="N66" i="3" s="1"/>
  <c r="N45" i="3"/>
  <c r="N61" i="3" s="1"/>
  <c r="N44" i="3"/>
  <c r="N60" i="3" s="1"/>
  <c r="N41" i="3"/>
  <c r="N57" i="3" s="1"/>
  <c r="N46" i="3"/>
  <c r="N62" i="3" s="1"/>
  <c r="N48" i="3"/>
  <c r="N64" i="3" s="1"/>
  <c r="N38" i="3"/>
  <c r="N54" i="3" s="1"/>
  <c r="N43" i="3"/>
  <c r="N59" i="3" s="1"/>
  <c r="N39" i="3"/>
  <c r="N55" i="3" s="1"/>
  <c r="N42" i="3"/>
  <c r="N58" i="3" s="1"/>
  <c r="V63" i="4"/>
  <c r="Q5" i="4"/>
  <c r="P103" i="3"/>
  <c r="R17" i="2"/>
  <c r="O57" i="4"/>
  <c r="P41" i="23"/>
  <c r="S41" i="23" s="1"/>
  <c r="Y41" i="23"/>
  <c r="W232" i="19"/>
  <c r="Z232" i="19" s="1"/>
  <c r="W228" i="19"/>
  <c r="Z228" i="19" s="1"/>
  <c r="W224" i="19"/>
  <c r="Z224" i="19" s="1"/>
  <c r="W220" i="19"/>
  <c r="Z220" i="19" s="1"/>
  <c r="W216" i="19"/>
  <c r="Z216" i="19" s="1"/>
  <c r="W212" i="19"/>
  <c r="Z212" i="19" s="1"/>
  <c r="W208" i="19"/>
  <c r="Z208" i="19" s="1"/>
  <c r="W204" i="19"/>
  <c r="Z204" i="19" s="1"/>
  <c r="W200" i="19"/>
  <c r="Z200" i="19" s="1"/>
  <c r="W196" i="19"/>
  <c r="Z196" i="19" s="1"/>
  <c r="W192" i="19"/>
  <c r="Z192" i="19" s="1"/>
  <c r="W188" i="19"/>
  <c r="Z188" i="19" s="1"/>
  <c r="W184" i="19"/>
  <c r="Z184" i="19" s="1"/>
  <c r="W180" i="19"/>
  <c r="Z180" i="19" s="1"/>
  <c r="W176" i="19"/>
  <c r="Z176" i="19" s="1"/>
  <c r="W172" i="19"/>
  <c r="Z172" i="19" s="1"/>
  <c r="W168" i="19"/>
  <c r="Z168" i="19" s="1"/>
  <c r="W164" i="19"/>
  <c r="Z164" i="19" s="1"/>
  <c r="W160" i="19"/>
  <c r="Z160" i="19" s="1"/>
  <c r="W156" i="19"/>
  <c r="Z156" i="19" s="1"/>
  <c r="W152" i="19"/>
  <c r="Z152" i="19" s="1"/>
  <c r="W148" i="19"/>
  <c r="Z148" i="19" s="1"/>
  <c r="W144" i="19"/>
  <c r="Z144" i="19" s="1"/>
  <c r="W140" i="19"/>
  <c r="Z140" i="19" s="1"/>
  <c r="W136" i="19"/>
  <c r="Z136" i="19" s="1"/>
  <c r="W132" i="19"/>
  <c r="Z132" i="19" s="1"/>
  <c r="W128" i="19"/>
  <c r="Z128" i="19" s="1"/>
  <c r="W124" i="19"/>
  <c r="Z124" i="19" s="1"/>
  <c r="W120" i="19"/>
  <c r="Z120" i="19" s="1"/>
  <c r="W116" i="19"/>
  <c r="Z116" i="19" s="1"/>
  <c r="W112" i="19"/>
  <c r="Z112" i="19" s="1"/>
  <c r="W108" i="19"/>
  <c r="Z108" i="19" s="1"/>
  <c r="W104" i="19"/>
  <c r="Z104" i="19" s="1"/>
  <c r="W100" i="19"/>
  <c r="Z100" i="19" s="1"/>
  <c r="W96" i="19"/>
  <c r="Z96" i="19" s="1"/>
  <c r="W92" i="19"/>
  <c r="W88" i="19"/>
  <c r="W84" i="19"/>
  <c r="W80" i="19"/>
  <c r="W76" i="19"/>
  <c r="W72" i="19"/>
  <c r="W68" i="19"/>
  <c r="W64" i="19"/>
  <c r="W60" i="19"/>
  <c r="W56" i="19"/>
  <c r="W52" i="19"/>
  <c r="W48" i="19"/>
  <c r="W44" i="19"/>
  <c r="W40" i="19"/>
  <c r="W36" i="19"/>
  <c r="W32" i="19"/>
  <c r="W28" i="19"/>
  <c r="W24" i="19"/>
  <c r="W20" i="19"/>
  <c r="W16" i="19"/>
  <c r="W12" i="19"/>
  <c r="V232" i="19"/>
  <c r="Y232" i="19" s="1"/>
  <c r="V228" i="19"/>
  <c r="Y228" i="19" s="1"/>
  <c r="V224" i="19"/>
  <c r="Y224" i="19" s="1"/>
  <c r="V220" i="19"/>
  <c r="Y220" i="19" s="1"/>
  <c r="V216" i="19"/>
  <c r="Y216" i="19" s="1"/>
  <c r="V212" i="19"/>
  <c r="Y212" i="19" s="1"/>
  <c r="V208" i="19"/>
  <c r="Y208" i="19" s="1"/>
  <c r="V204" i="19"/>
  <c r="Y204" i="19" s="1"/>
  <c r="V200" i="19"/>
  <c r="Y200" i="19" s="1"/>
  <c r="V196" i="19"/>
  <c r="Y196" i="19" s="1"/>
  <c r="V192" i="19"/>
  <c r="Y192" i="19" s="1"/>
  <c r="V188" i="19"/>
  <c r="Y188" i="19" s="1"/>
  <c r="V184" i="19"/>
  <c r="Y184" i="19" s="1"/>
  <c r="V180" i="19"/>
  <c r="Y180" i="19" s="1"/>
  <c r="V176" i="19"/>
  <c r="Y176" i="19" s="1"/>
  <c r="V172" i="19"/>
  <c r="Y172" i="19" s="1"/>
  <c r="V168" i="19"/>
  <c r="Y168" i="19" s="1"/>
  <c r="V164" i="19"/>
  <c r="Y164" i="19" s="1"/>
  <c r="V160" i="19"/>
  <c r="Y160" i="19" s="1"/>
  <c r="V156" i="19"/>
  <c r="Y156" i="19" s="1"/>
  <c r="V152" i="19"/>
  <c r="Y152" i="19" s="1"/>
  <c r="V148" i="19"/>
  <c r="Y148" i="19" s="1"/>
  <c r="V144" i="19"/>
  <c r="Y144" i="19" s="1"/>
  <c r="V140" i="19"/>
  <c r="Y140" i="19" s="1"/>
  <c r="V136" i="19"/>
  <c r="Y136" i="19" s="1"/>
  <c r="V132" i="19"/>
  <c r="Y132" i="19" s="1"/>
  <c r="V128" i="19"/>
  <c r="Y128" i="19" s="1"/>
  <c r="V124" i="19"/>
  <c r="Y124" i="19" s="1"/>
  <c r="V120" i="19"/>
  <c r="Y120" i="19" s="1"/>
  <c r="V116" i="19"/>
  <c r="Y116" i="19" s="1"/>
  <c r="V112" i="19"/>
  <c r="Y112" i="19" s="1"/>
  <c r="V108" i="19"/>
  <c r="Y108" i="19" s="1"/>
  <c r="V104" i="19"/>
  <c r="Y104" i="19" s="1"/>
  <c r="V100" i="19"/>
  <c r="Y100" i="19" s="1"/>
  <c r="V96" i="19"/>
  <c r="Y96" i="19" s="1"/>
  <c r="V92" i="19"/>
  <c r="V88" i="19"/>
  <c r="V84" i="19"/>
  <c r="V80" i="19"/>
  <c r="V76" i="19"/>
  <c r="V72" i="19"/>
  <c r="V68" i="19"/>
  <c r="V64" i="19"/>
  <c r="V60" i="19"/>
  <c r="V56" i="19"/>
  <c r="V52" i="19"/>
  <c r="V48" i="19"/>
  <c r="V44" i="19"/>
  <c r="V40" i="19"/>
  <c r="V36" i="19"/>
  <c r="V32" i="19"/>
  <c r="V28" i="19"/>
  <c r="V24" i="19"/>
  <c r="V20" i="19"/>
  <c r="V16" i="19"/>
  <c r="W235" i="19"/>
  <c r="Z235" i="19" s="1"/>
  <c r="W231" i="19"/>
  <c r="Z231" i="19" s="1"/>
  <c r="W227" i="19"/>
  <c r="Z227" i="19" s="1"/>
  <c r="W223" i="19"/>
  <c r="Z223" i="19" s="1"/>
  <c r="W219" i="19"/>
  <c r="Z219" i="19" s="1"/>
  <c r="W215" i="19"/>
  <c r="Z215" i="19" s="1"/>
  <c r="W211" i="19"/>
  <c r="Z211" i="19" s="1"/>
  <c r="W207" i="19"/>
  <c r="Z207" i="19" s="1"/>
  <c r="W203" i="19"/>
  <c r="Z203" i="19" s="1"/>
  <c r="W199" i="19"/>
  <c r="Z199" i="19" s="1"/>
  <c r="W195" i="19"/>
  <c r="Z195" i="19" s="1"/>
  <c r="W191" i="19"/>
  <c r="Z191" i="19" s="1"/>
  <c r="W187" i="19"/>
  <c r="Z187" i="19" s="1"/>
  <c r="W183" i="19"/>
  <c r="Z183" i="19" s="1"/>
  <c r="W179" i="19"/>
  <c r="Z179" i="19" s="1"/>
  <c r="W175" i="19"/>
  <c r="Z175" i="19" s="1"/>
  <c r="W171" i="19"/>
  <c r="Z171" i="19" s="1"/>
  <c r="W167" i="19"/>
  <c r="Z167" i="19" s="1"/>
  <c r="W163" i="19"/>
  <c r="Z163" i="19" s="1"/>
  <c r="W159" i="19"/>
  <c r="Z159" i="19" s="1"/>
  <c r="W155" i="19"/>
  <c r="Z155" i="19" s="1"/>
  <c r="W151" i="19"/>
  <c r="Z151" i="19" s="1"/>
  <c r="W147" i="19"/>
  <c r="Z147" i="19" s="1"/>
  <c r="W143" i="19"/>
  <c r="Z143" i="19" s="1"/>
  <c r="W139" i="19"/>
  <c r="Z139" i="19" s="1"/>
  <c r="W135" i="19"/>
  <c r="Z135" i="19" s="1"/>
  <c r="W131" i="19"/>
  <c r="Z131" i="19" s="1"/>
  <c r="W127" i="19"/>
  <c r="Z127" i="19" s="1"/>
  <c r="W123" i="19"/>
  <c r="Z123" i="19" s="1"/>
  <c r="W119" i="19"/>
  <c r="Z119" i="19" s="1"/>
  <c r="W115" i="19"/>
  <c r="Z115" i="19" s="1"/>
  <c r="W111" i="19"/>
  <c r="Z111" i="19" s="1"/>
  <c r="W107" i="19"/>
  <c r="Z107" i="19" s="1"/>
  <c r="W103" i="19"/>
  <c r="Z103" i="19" s="1"/>
  <c r="W99" i="19"/>
  <c r="Z99" i="19" s="1"/>
  <c r="W95" i="19"/>
  <c r="W91" i="19"/>
  <c r="W87" i="19"/>
  <c r="W83" i="19"/>
  <c r="W79" i="19"/>
  <c r="W75" i="19"/>
  <c r="W71" i="19"/>
  <c r="W67" i="19"/>
  <c r="W63" i="19"/>
  <c r="W59" i="19"/>
  <c r="W55" i="19"/>
  <c r="W51" i="19"/>
  <c r="W47" i="19"/>
  <c r="W43" i="19"/>
  <c r="W39" i="19"/>
  <c r="W35" i="19"/>
  <c r="W31" i="19"/>
  <c r="W27" i="19"/>
  <c r="W23" i="19"/>
  <c r="W19" i="19"/>
  <c r="W15" i="19"/>
  <c r="V12" i="19"/>
  <c r="V235" i="19"/>
  <c r="Y235" i="19" s="1"/>
  <c r="V231" i="19"/>
  <c r="Y231" i="19" s="1"/>
  <c r="V227" i="19"/>
  <c r="Y227" i="19" s="1"/>
  <c r="V223" i="19"/>
  <c r="Y223" i="19" s="1"/>
  <c r="V219" i="19"/>
  <c r="Y219" i="19" s="1"/>
  <c r="V215" i="19"/>
  <c r="Y215" i="19" s="1"/>
  <c r="V211" i="19"/>
  <c r="Y211" i="19" s="1"/>
  <c r="V207" i="19"/>
  <c r="Y207" i="19" s="1"/>
  <c r="V203" i="19"/>
  <c r="Y203" i="19" s="1"/>
  <c r="V199" i="19"/>
  <c r="Y199" i="19" s="1"/>
  <c r="V195" i="19"/>
  <c r="Y195" i="19" s="1"/>
  <c r="V191" i="19"/>
  <c r="Y191" i="19" s="1"/>
  <c r="V187" i="19"/>
  <c r="Y187" i="19" s="1"/>
  <c r="V183" i="19"/>
  <c r="Y183" i="19" s="1"/>
  <c r="V179" i="19"/>
  <c r="Y179" i="19" s="1"/>
  <c r="V175" i="19"/>
  <c r="Y175" i="19" s="1"/>
  <c r="V171" i="19"/>
  <c r="Y171" i="19" s="1"/>
  <c r="V167" i="19"/>
  <c r="Y167" i="19" s="1"/>
  <c r="V163" i="19"/>
  <c r="Y163" i="19" s="1"/>
  <c r="V159" i="19"/>
  <c r="Y159" i="19" s="1"/>
  <c r="V155" i="19"/>
  <c r="Y155" i="19" s="1"/>
  <c r="V151" i="19"/>
  <c r="Y151" i="19" s="1"/>
  <c r="V147" i="19"/>
  <c r="Y147" i="19" s="1"/>
  <c r="V143" i="19"/>
  <c r="Y143" i="19" s="1"/>
  <c r="V139" i="19"/>
  <c r="Y139" i="19" s="1"/>
  <c r="V135" i="19"/>
  <c r="Y135" i="19" s="1"/>
  <c r="V131" i="19"/>
  <c r="Y131" i="19" s="1"/>
  <c r="V127" i="19"/>
  <c r="Y127" i="19" s="1"/>
  <c r="V123" i="19"/>
  <c r="Y123" i="19" s="1"/>
  <c r="V119" i="19"/>
  <c r="Y119" i="19" s="1"/>
  <c r="V115" i="19"/>
  <c r="Y115" i="19" s="1"/>
  <c r="V111" i="19"/>
  <c r="Y111" i="19" s="1"/>
  <c r="V107" i="19"/>
  <c r="Y107" i="19" s="1"/>
  <c r="V103" i="19"/>
  <c r="Y103" i="19" s="1"/>
  <c r="V99" i="19"/>
  <c r="Y99" i="19" s="1"/>
  <c r="V95" i="19"/>
  <c r="V91" i="19"/>
  <c r="V87" i="19"/>
  <c r="V83" i="19"/>
  <c r="V79" i="19"/>
  <c r="V75" i="19"/>
  <c r="V71" i="19"/>
  <c r="V67" i="19"/>
  <c r="V63" i="19"/>
  <c r="V59" i="19"/>
  <c r="V55" i="19"/>
  <c r="V51" i="19"/>
  <c r="V47" i="19"/>
  <c r="V43" i="19"/>
  <c r="V39" i="19"/>
  <c r="V35" i="19"/>
  <c r="V31" i="19"/>
  <c r="V27" i="19"/>
  <c r="V23" i="19"/>
  <c r="V19" i="19"/>
  <c r="V15" i="19"/>
  <c r="W233" i="19"/>
  <c r="Z233" i="19" s="1"/>
  <c r="W225" i="19"/>
  <c r="Z225" i="19" s="1"/>
  <c r="W217" i="19"/>
  <c r="Z217" i="19" s="1"/>
  <c r="W209" i="19"/>
  <c r="Z209" i="19" s="1"/>
  <c r="W201" i="19"/>
  <c r="Z201" i="19" s="1"/>
  <c r="W193" i="19"/>
  <c r="Z193" i="19" s="1"/>
  <c r="W185" i="19"/>
  <c r="Z185" i="19" s="1"/>
  <c r="W177" i="19"/>
  <c r="Z177" i="19" s="1"/>
  <c r="W169" i="19"/>
  <c r="Z169" i="19" s="1"/>
  <c r="W161" i="19"/>
  <c r="Z161" i="19" s="1"/>
  <c r="W153" i="19"/>
  <c r="Z153" i="19" s="1"/>
  <c r="W145" i="19"/>
  <c r="Z145" i="19" s="1"/>
  <c r="W137" i="19"/>
  <c r="Z137" i="19" s="1"/>
  <c r="W129" i="19"/>
  <c r="Z129" i="19" s="1"/>
  <c r="W121" i="19"/>
  <c r="Z121" i="19" s="1"/>
  <c r="W113" i="19"/>
  <c r="Z113" i="19" s="1"/>
  <c r="W105" i="19"/>
  <c r="Z105" i="19" s="1"/>
  <c r="W97" i="19"/>
  <c r="Z97" i="19" s="1"/>
  <c r="W89" i="19"/>
  <c r="W81" i="19"/>
  <c r="W73" i="19"/>
  <c r="W65" i="19"/>
  <c r="W57" i="19"/>
  <c r="W49" i="19"/>
  <c r="W41" i="19"/>
  <c r="W33" i="19"/>
  <c r="W25" i="19"/>
  <c r="W17" i="19"/>
  <c r="V233" i="19"/>
  <c r="Y233" i="19" s="1"/>
  <c r="V225" i="19"/>
  <c r="Y225" i="19" s="1"/>
  <c r="V217" i="19"/>
  <c r="Y217" i="19" s="1"/>
  <c r="V209" i="19"/>
  <c r="Y209" i="19" s="1"/>
  <c r="V201" i="19"/>
  <c r="Y201" i="19" s="1"/>
  <c r="V193" i="19"/>
  <c r="Y193" i="19" s="1"/>
  <c r="V185" i="19"/>
  <c r="Y185" i="19" s="1"/>
  <c r="V177" i="19"/>
  <c r="Y177" i="19" s="1"/>
  <c r="V169" i="19"/>
  <c r="Y169" i="19" s="1"/>
  <c r="V161" i="19"/>
  <c r="Y161" i="19" s="1"/>
  <c r="V153" i="19"/>
  <c r="Y153" i="19" s="1"/>
  <c r="V145" i="19"/>
  <c r="Y145" i="19" s="1"/>
  <c r="V137" i="19"/>
  <c r="Y137" i="19" s="1"/>
  <c r="V129" i="19"/>
  <c r="Y129" i="19" s="1"/>
  <c r="V121" i="19"/>
  <c r="Y121" i="19" s="1"/>
  <c r="V113" i="19"/>
  <c r="Y113" i="19" s="1"/>
  <c r="V105" i="19"/>
  <c r="Y105" i="19" s="1"/>
  <c r="V97" i="19"/>
  <c r="Y97" i="19" s="1"/>
  <c r="V89" i="19"/>
  <c r="V81" i="19"/>
  <c r="V73" i="19"/>
  <c r="V65" i="19"/>
  <c r="V57" i="19"/>
  <c r="V49" i="19"/>
  <c r="V41" i="19"/>
  <c r="V33" i="19"/>
  <c r="V25" i="19"/>
  <c r="V17" i="19"/>
  <c r="W230" i="19"/>
  <c r="Z230" i="19" s="1"/>
  <c r="W222" i="19"/>
  <c r="Z222" i="19" s="1"/>
  <c r="W214" i="19"/>
  <c r="Z214" i="19" s="1"/>
  <c r="W206" i="19"/>
  <c r="Z206" i="19" s="1"/>
  <c r="W198" i="19"/>
  <c r="Z198" i="19" s="1"/>
  <c r="W190" i="19"/>
  <c r="Z190" i="19" s="1"/>
  <c r="W182" i="19"/>
  <c r="Z182" i="19" s="1"/>
  <c r="W174" i="19"/>
  <c r="Z174" i="19" s="1"/>
  <c r="W166" i="19"/>
  <c r="Z166" i="19" s="1"/>
  <c r="W158" i="19"/>
  <c r="Z158" i="19" s="1"/>
  <c r="W150" i="19"/>
  <c r="Z150" i="19" s="1"/>
  <c r="W142" i="19"/>
  <c r="Z142" i="19" s="1"/>
  <c r="W134" i="19"/>
  <c r="Z134" i="19" s="1"/>
  <c r="W126" i="19"/>
  <c r="Z126" i="19" s="1"/>
  <c r="W118" i="19"/>
  <c r="Z118" i="19" s="1"/>
  <c r="W110" i="19"/>
  <c r="Z110" i="19" s="1"/>
  <c r="W102" i="19"/>
  <c r="Z102" i="19" s="1"/>
  <c r="W94" i="19"/>
  <c r="W86" i="19"/>
  <c r="W78" i="19"/>
  <c r="W70" i="19"/>
  <c r="W62" i="19"/>
  <c r="W54" i="19"/>
  <c r="W46" i="19"/>
  <c r="W38" i="19"/>
  <c r="W30" i="19"/>
  <c r="W22" i="19"/>
  <c r="W14" i="19"/>
  <c r="V230" i="19"/>
  <c r="Y230" i="19" s="1"/>
  <c r="V222" i="19"/>
  <c r="Y222" i="19" s="1"/>
  <c r="V214" i="19"/>
  <c r="Y214" i="19" s="1"/>
  <c r="V206" i="19"/>
  <c r="Y206" i="19" s="1"/>
  <c r="V198" i="19"/>
  <c r="Y198" i="19" s="1"/>
  <c r="V190" i="19"/>
  <c r="Y190" i="19" s="1"/>
  <c r="V182" i="19"/>
  <c r="Y182" i="19" s="1"/>
  <c r="V174" i="19"/>
  <c r="Y174" i="19" s="1"/>
  <c r="V166" i="19"/>
  <c r="Y166" i="19" s="1"/>
  <c r="V158" i="19"/>
  <c r="Y158" i="19" s="1"/>
  <c r="V150" i="19"/>
  <c r="Y150" i="19" s="1"/>
  <c r="V142" i="19"/>
  <c r="Y142" i="19" s="1"/>
  <c r="V134" i="19"/>
  <c r="Y134" i="19" s="1"/>
  <c r="V126" i="19"/>
  <c r="Y126" i="19" s="1"/>
  <c r="V118" i="19"/>
  <c r="Y118" i="19" s="1"/>
  <c r="V110" i="19"/>
  <c r="Y110" i="19" s="1"/>
  <c r="V102" i="19"/>
  <c r="Y102" i="19" s="1"/>
  <c r="V94" i="19"/>
  <c r="V86" i="19"/>
  <c r="V78" i="19"/>
  <c r="V70" i="19"/>
  <c r="V62" i="19"/>
  <c r="V54" i="19"/>
  <c r="V46" i="19"/>
  <c r="V38" i="19"/>
  <c r="V30" i="19"/>
  <c r="V22" i="19"/>
  <c r="V14" i="19"/>
  <c r="V221" i="19"/>
  <c r="Y221" i="19" s="1"/>
  <c r="V205" i="19"/>
  <c r="Y205" i="19" s="1"/>
  <c r="V189" i="19"/>
  <c r="Y189" i="19" s="1"/>
  <c r="V173" i="19"/>
  <c r="Y173" i="19" s="1"/>
  <c r="V157" i="19"/>
  <c r="Y157" i="19" s="1"/>
  <c r="V141" i="19"/>
  <c r="Y141" i="19" s="1"/>
  <c r="V125" i="19"/>
  <c r="Y125" i="19" s="1"/>
  <c r="V109" i="19"/>
  <c r="Y109" i="19" s="1"/>
  <c r="V93" i="19"/>
  <c r="V77" i="19"/>
  <c r="V61" i="19"/>
  <c r="V45" i="19"/>
  <c r="V29" i="19"/>
  <c r="V13" i="19"/>
  <c r="W234" i="19"/>
  <c r="Z234" i="19" s="1"/>
  <c r="W218" i="19"/>
  <c r="Z218" i="19" s="1"/>
  <c r="W202" i="19"/>
  <c r="Z202" i="19" s="1"/>
  <c r="W186" i="19"/>
  <c r="Z186" i="19" s="1"/>
  <c r="W170" i="19"/>
  <c r="Z170" i="19" s="1"/>
  <c r="W154" i="19"/>
  <c r="Z154" i="19" s="1"/>
  <c r="W138" i="19"/>
  <c r="Z138" i="19" s="1"/>
  <c r="W122" i="19"/>
  <c r="Z122" i="19" s="1"/>
  <c r="W106" i="19"/>
  <c r="Z106" i="19" s="1"/>
  <c r="W90" i="19"/>
  <c r="W74" i="19"/>
  <c r="W58" i="19"/>
  <c r="W42" i="19"/>
  <c r="W26" i="19"/>
  <c r="V234" i="19"/>
  <c r="Y234" i="19" s="1"/>
  <c r="V218" i="19"/>
  <c r="Y218" i="19" s="1"/>
  <c r="V202" i="19"/>
  <c r="Y202" i="19" s="1"/>
  <c r="V186" i="19"/>
  <c r="Y186" i="19" s="1"/>
  <c r="V170" i="19"/>
  <c r="Y170" i="19" s="1"/>
  <c r="V154" i="19"/>
  <c r="Y154" i="19" s="1"/>
  <c r="V138" i="19"/>
  <c r="Y138" i="19" s="1"/>
  <c r="V122" i="19"/>
  <c r="Y122" i="19" s="1"/>
  <c r="V106" i="19"/>
  <c r="Y106" i="19" s="1"/>
  <c r="V90" i="19"/>
  <c r="V74" i="19"/>
  <c r="V58" i="19"/>
  <c r="V42" i="19"/>
  <c r="V26" i="19"/>
  <c r="W229" i="19"/>
  <c r="Z229" i="19" s="1"/>
  <c r="W213" i="19"/>
  <c r="Z213" i="19" s="1"/>
  <c r="W197" i="19"/>
  <c r="Z197" i="19" s="1"/>
  <c r="W181" i="19"/>
  <c r="Z181" i="19" s="1"/>
  <c r="W165" i="19"/>
  <c r="Z165" i="19" s="1"/>
  <c r="W149" i="19"/>
  <c r="Z149" i="19" s="1"/>
  <c r="W133" i="19"/>
  <c r="Z133" i="19" s="1"/>
  <c r="W117" i="19"/>
  <c r="Z117" i="19" s="1"/>
  <c r="W101" i="19"/>
  <c r="Z101" i="19" s="1"/>
  <c r="W85" i="19"/>
  <c r="W69" i="19"/>
  <c r="W53" i="19"/>
  <c r="W37" i="19"/>
  <c r="W21" i="19"/>
  <c r="V229" i="19"/>
  <c r="Y229" i="19" s="1"/>
  <c r="V213" i="19"/>
  <c r="Y213" i="19" s="1"/>
  <c r="V197" i="19"/>
  <c r="Y197" i="19" s="1"/>
  <c r="V181" i="19"/>
  <c r="Y181" i="19" s="1"/>
  <c r="V165" i="19"/>
  <c r="Y165" i="19" s="1"/>
  <c r="V149" i="19"/>
  <c r="Y149" i="19" s="1"/>
  <c r="V133" i="19"/>
  <c r="Y133" i="19" s="1"/>
  <c r="V117" i="19"/>
  <c r="Y117" i="19" s="1"/>
  <c r="V101" i="19"/>
  <c r="Y101" i="19" s="1"/>
  <c r="V85" i="19"/>
  <c r="V69" i="19"/>
  <c r="V53" i="19"/>
  <c r="V37" i="19"/>
  <c r="V21" i="19"/>
  <c r="W221" i="19"/>
  <c r="Z221" i="19" s="1"/>
  <c r="V178" i="19"/>
  <c r="Y178" i="19" s="1"/>
  <c r="W130" i="19"/>
  <c r="Z130" i="19" s="1"/>
  <c r="W93" i="19"/>
  <c r="V50" i="19"/>
  <c r="W210" i="19"/>
  <c r="Z210" i="19" s="1"/>
  <c r="W173" i="19"/>
  <c r="Z173" i="19" s="1"/>
  <c r="V130" i="19"/>
  <c r="Y130" i="19" s="1"/>
  <c r="W82" i="19"/>
  <c r="W45" i="19"/>
  <c r="V210" i="19"/>
  <c r="Y210" i="19" s="1"/>
  <c r="W162" i="19"/>
  <c r="Z162" i="19" s="1"/>
  <c r="W125" i="19"/>
  <c r="Z125" i="19" s="1"/>
  <c r="V82" i="19"/>
  <c r="W34" i="19"/>
  <c r="W205" i="19"/>
  <c r="Z205" i="19" s="1"/>
  <c r="V162" i="19"/>
  <c r="Y162" i="19" s="1"/>
  <c r="W114" i="19"/>
  <c r="Z114" i="19" s="1"/>
  <c r="W77" i="19"/>
  <c r="V34" i="19"/>
  <c r="W194" i="19"/>
  <c r="Z194" i="19" s="1"/>
  <c r="W157" i="19"/>
  <c r="Z157" i="19" s="1"/>
  <c r="V114" i="19"/>
  <c r="Y114" i="19" s="1"/>
  <c r="W66" i="19"/>
  <c r="W29" i="19"/>
  <c r="V194" i="19"/>
  <c r="Y194" i="19" s="1"/>
  <c r="W146" i="19"/>
  <c r="Z146" i="19" s="1"/>
  <c r="W109" i="19"/>
  <c r="Z109" i="19" s="1"/>
  <c r="V66" i="19"/>
  <c r="W18" i="19"/>
  <c r="V98" i="19"/>
  <c r="Y98" i="19" s="1"/>
  <c r="W226" i="19"/>
  <c r="Z226" i="19" s="1"/>
  <c r="W61" i="19"/>
  <c r="V226" i="19"/>
  <c r="Y226" i="19" s="1"/>
  <c r="W50" i="19"/>
  <c r="W189" i="19"/>
  <c r="Z189" i="19" s="1"/>
  <c r="V18" i="19"/>
  <c r="W178" i="19"/>
  <c r="Z178" i="19" s="1"/>
  <c r="W13" i="19"/>
  <c r="V146" i="19"/>
  <c r="Y146" i="19" s="1"/>
  <c r="W141" i="19"/>
  <c r="Z141" i="19" s="1"/>
  <c r="W98" i="19"/>
  <c r="Z98" i="19" s="1"/>
  <c r="O19" i="3"/>
  <c r="P20" i="2"/>
  <c r="P7" i="4"/>
  <c r="W232" i="22"/>
  <c r="W228" i="22"/>
  <c r="W224" i="22"/>
  <c r="W220" i="22"/>
  <c r="V234" i="22"/>
  <c r="W229" i="22"/>
  <c r="V225" i="22"/>
  <c r="V220" i="22"/>
  <c r="V216" i="22"/>
  <c r="V212" i="22"/>
  <c r="V208" i="22"/>
  <c r="V204" i="22"/>
  <c r="V200" i="22"/>
  <c r="V196" i="22"/>
  <c r="V192" i="22"/>
  <c r="V188" i="22"/>
  <c r="V184" i="22"/>
  <c r="V180" i="22"/>
  <c r="V176" i="22"/>
  <c r="V172" i="22"/>
  <c r="V168" i="22"/>
  <c r="V164" i="22"/>
  <c r="V160" i="22"/>
  <c r="V156" i="22"/>
  <c r="V152" i="22"/>
  <c r="V148" i="22"/>
  <c r="V144" i="22"/>
  <c r="V140" i="22"/>
  <c r="V136" i="22"/>
  <c r="V132" i="22"/>
  <c r="V128" i="22"/>
  <c r="V124" i="22"/>
  <c r="V120" i="22"/>
  <c r="V116" i="22"/>
  <c r="V112" i="22"/>
  <c r="V108" i="22"/>
  <c r="V104" i="22"/>
  <c r="V100" i="22"/>
  <c r="V96" i="22"/>
  <c r="V92" i="22"/>
  <c r="V88" i="22"/>
  <c r="AB88" i="22" s="1"/>
  <c r="V84" i="22"/>
  <c r="V80" i="22"/>
  <c r="AB80" i="22" s="1"/>
  <c r="V76" i="22"/>
  <c r="V72" i="22"/>
  <c r="V68" i="22"/>
  <c r="V64" i="22"/>
  <c r="V60" i="22"/>
  <c r="AB60" i="22" s="1"/>
  <c r="V56" i="22"/>
  <c r="V52" i="22"/>
  <c r="AB52" i="22" s="1"/>
  <c r="V48" i="22"/>
  <c r="V44" i="22"/>
  <c r="V40" i="22"/>
  <c r="V36" i="22"/>
  <c r="V32" i="22"/>
  <c r="AB32" i="22" s="1"/>
  <c r="V28" i="22"/>
  <c r="V24" i="22"/>
  <c r="AB24" i="22" s="1"/>
  <c r="V20" i="22"/>
  <c r="V16" i="22"/>
  <c r="W233" i="22"/>
  <c r="V229" i="22"/>
  <c r="V224" i="22"/>
  <c r="W219" i="22"/>
  <c r="W215" i="22"/>
  <c r="W211" i="22"/>
  <c r="W207" i="22"/>
  <c r="W203" i="22"/>
  <c r="W199" i="22"/>
  <c r="W195" i="22"/>
  <c r="W191" i="22"/>
  <c r="W187" i="22"/>
  <c r="W183" i="22"/>
  <c r="W179" i="22"/>
  <c r="W175" i="22"/>
  <c r="W171" i="22"/>
  <c r="W167" i="22"/>
  <c r="W163" i="22"/>
  <c r="W159" i="22"/>
  <c r="W155" i="22"/>
  <c r="W151" i="22"/>
  <c r="W147" i="22"/>
  <c r="W143" i="22"/>
  <c r="W139" i="22"/>
  <c r="W135" i="22"/>
  <c r="W131" i="22"/>
  <c r="W127" i="22"/>
  <c r="W123" i="22"/>
  <c r="W119" i="22"/>
  <c r="W115" i="22"/>
  <c r="W111" i="22"/>
  <c r="W107" i="22"/>
  <c r="W103" i="22"/>
  <c r="W99" i="22"/>
  <c r="W95" i="22"/>
  <c r="W91" i="22"/>
  <c r="W87" i="22"/>
  <c r="W83" i="22"/>
  <c r="W79" i="22"/>
  <c r="W75" i="22"/>
  <c r="W71" i="22"/>
  <c r="W67" i="22"/>
  <c r="W63" i="22"/>
  <c r="W59" i="22"/>
  <c r="W55" i="22"/>
  <c r="W51" i="22"/>
  <c r="W47" i="22"/>
  <c r="W43" i="22"/>
  <c r="W39" i="22"/>
  <c r="W35" i="22"/>
  <c r="W31" i="22"/>
  <c r="W27" i="22"/>
  <c r="W23" i="22"/>
  <c r="W19" i="22"/>
  <c r="W15" i="22"/>
  <c r="V12" i="22"/>
  <c r="V232" i="22"/>
  <c r="W227" i="22"/>
  <c r="V223" i="22"/>
  <c r="W218" i="22"/>
  <c r="W214" i="22"/>
  <c r="W210" i="22"/>
  <c r="W206" i="22"/>
  <c r="W202" i="22"/>
  <c r="W198" i="22"/>
  <c r="W194" i="22"/>
  <c r="W190" i="22"/>
  <c r="W186" i="22"/>
  <c r="W182" i="22"/>
  <c r="W178" i="22"/>
  <c r="W174" i="22"/>
  <c r="W170" i="22"/>
  <c r="W166" i="22"/>
  <c r="W162" i="22"/>
  <c r="W158" i="22"/>
  <c r="W154" i="22"/>
  <c r="W150" i="22"/>
  <c r="W146" i="22"/>
  <c r="W142" i="22"/>
  <c r="W138" i="22"/>
  <c r="W134" i="22"/>
  <c r="W130" i="22"/>
  <c r="W126" i="22"/>
  <c r="W122" i="22"/>
  <c r="W118" i="22"/>
  <c r="W114" i="22"/>
  <c r="W110" i="22"/>
  <c r="W106" i="22"/>
  <c r="W102" i="22"/>
  <c r="W98" i="22"/>
  <c r="W94" i="22"/>
  <c r="W90" i="22"/>
  <c r="W86" i="22"/>
  <c r="W82" i="22"/>
  <c r="W78" i="22"/>
  <c r="W74" i="22"/>
  <c r="W70" i="22"/>
  <c r="W66" i="22"/>
  <c r="W62" i="22"/>
  <c r="W58" i="22"/>
  <c r="W54" i="22"/>
  <c r="W50" i="22"/>
  <c r="W46" i="22"/>
  <c r="W42" i="22"/>
  <c r="W38" i="22"/>
  <c r="W34" i="22"/>
  <c r="W30" i="22"/>
  <c r="W26" i="22"/>
  <c r="W22" i="22"/>
  <c r="W18" i="22"/>
  <c r="W14" i="22"/>
  <c r="V235" i="22"/>
  <c r="W230" i="22"/>
  <c r="V226" i="22"/>
  <c r="W221" i="22"/>
  <c r="V217" i="22"/>
  <c r="V213" i="22"/>
  <c r="V209" i="22"/>
  <c r="V205" i="22"/>
  <c r="V201" i="22"/>
  <c r="V197" i="22"/>
  <c r="V193" i="22"/>
  <c r="V189" i="22"/>
  <c r="V185" i="22"/>
  <c r="V181" i="22"/>
  <c r="V177" i="22"/>
  <c r="V173" i="22"/>
  <c r="V169" i="22"/>
  <c r="V165" i="22"/>
  <c r="V161" i="22"/>
  <c r="V157" i="22"/>
  <c r="V153" i="22"/>
  <c r="V149" i="22"/>
  <c r="V145" i="22"/>
  <c r="V141" i="22"/>
  <c r="V137" i="22"/>
  <c r="V133" i="22"/>
  <c r="V129" i="22"/>
  <c r="V125" i="22"/>
  <c r="V121" i="22"/>
  <c r="V117" i="22"/>
  <c r="V113" i="22"/>
  <c r="V109" i="22"/>
  <c r="V105" i="22"/>
  <c r="V101" i="22"/>
  <c r="V97" i="22"/>
  <c r="V93" i="22"/>
  <c r="V89" i="22"/>
  <c r="V85" i="22"/>
  <c r="V81" i="22"/>
  <c r="AB81" i="22" s="1"/>
  <c r="V77" i="22"/>
  <c r="V73" i="22"/>
  <c r="AB73" i="22" s="1"/>
  <c r="V69" i="22"/>
  <c r="V65" i="22"/>
  <c r="V61" i="22"/>
  <c r="V57" i="22"/>
  <c r="V53" i="22"/>
  <c r="AB53" i="22" s="1"/>
  <c r="V49" i="22"/>
  <c r="V45" i="22"/>
  <c r="AB45" i="22" s="1"/>
  <c r="V41" i="22"/>
  <c r="V37" i="22"/>
  <c r="V33" i="22"/>
  <c r="V29" i="22"/>
  <c r="V25" i="22"/>
  <c r="AB25" i="22" s="1"/>
  <c r="V21" i="22"/>
  <c r="V17" i="22"/>
  <c r="AB17" i="22" s="1"/>
  <c r="V13" i="22"/>
  <c r="V227" i="22"/>
  <c r="V218" i="22"/>
  <c r="V210" i="22"/>
  <c r="V202" i="22"/>
  <c r="V194" i="22"/>
  <c r="V186" i="22"/>
  <c r="V178" i="22"/>
  <c r="V170" i="22"/>
  <c r="V162" i="22"/>
  <c r="V154" i="22"/>
  <c r="V146" i="22"/>
  <c r="V138" i="22"/>
  <c r="V130" i="22"/>
  <c r="V122" i="22"/>
  <c r="V114" i="22"/>
  <c r="V106" i="22"/>
  <c r="V98" i="22"/>
  <c r="V90" i="22"/>
  <c r="V82" i="22"/>
  <c r="V74" i="22"/>
  <c r="AB74" i="22" s="1"/>
  <c r="V66" i="22"/>
  <c r="AB66" i="22" s="1"/>
  <c r="V58" i="22"/>
  <c r="V50" i="22"/>
  <c r="V42" i="22"/>
  <c r="V34" i="22"/>
  <c r="V26" i="22"/>
  <c r="V18" i="22"/>
  <c r="AB18" i="22" s="1"/>
  <c r="W235" i="22"/>
  <c r="W226" i="22"/>
  <c r="W217" i="22"/>
  <c r="W209" i="22"/>
  <c r="W201" i="22"/>
  <c r="W193" i="22"/>
  <c r="W185" i="22"/>
  <c r="W177" i="22"/>
  <c r="W169" i="22"/>
  <c r="W161" i="22"/>
  <c r="W153" i="22"/>
  <c r="W145" i="22"/>
  <c r="W137" i="22"/>
  <c r="W129" i="22"/>
  <c r="W121" i="22"/>
  <c r="W113" i="22"/>
  <c r="W105" i="22"/>
  <c r="W97" i="22"/>
  <c r="W89" i="22"/>
  <c r="W81" i="22"/>
  <c r="W73" i="22"/>
  <c r="W65" i="22"/>
  <c r="W57" i="22"/>
  <c r="W49" i="22"/>
  <c r="W41" i="22"/>
  <c r="W33" i="22"/>
  <c r="W25" i="22"/>
  <c r="W17" i="22"/>
  <c r="W234" i="22"/>
  <c r="W225" i="22"/>
  <c r="W216" i="22"/>
  <c r="W208" i="22"/>
  <c r="W200" i="22"/>
  <c r="W192" i="22"/>
  <c r="W184" i="22"/>
  <c r="W176" i="22"/>
  <c r="W168" i="22"/>
  <c r="W160" i="22"/>
  <c r="W152" i="22"/>
  <c r="W144" i="22"/>
  <c r="W136" i="22"/>
  <c r="W128" i="22"/>
  <c r="W120" i="22"/>
  <c r="W112" i="22"/>
  <c r="W104" i="22"/>
  <c r="W96" i="22"/>
  <c r="W88" i="22"/>
  <c r="W80" i="22"/>
  <c r="W72" i="22"/>
  <c r="W64" i="22"/>
  <c r="W56" i="22"/>
  <c r="W48" i="22"/>
  <c r="W40" i="22"/>
  <c r="W32" i="22"/>
  <c r="W24" i="22"/>
  <c r="W16" i="22"/>
  <c r="V233" i="22"/>
  <c r="W223" i="22"/>
  <c r="V215" i="22"/>
  <c r="V207" i="22"/>
  <c r="V199" i="22"/>
  <c r="V191" i="22"/>
  <c r="V183" i="22"/>
  <c r="V175" i="22"/>
  <c r="V167" i="22"/>
  <c r="V159" i="22"/>
  <c r="V151" i="22"/>
  <c r="V143" i="22"/>
  <c r="V135" i="22"/>
  <c r="V127" i="22"/>
  <c r="V119" i="22"/>
  <c r="V111" i="22"/>
  <c r="V103" i="22"/>
  <c r="V95" i="22"/>
  <c r="AB95" i="22" s="1"/>
  <c r="V87" i="22"/>
  <c r="AB87" i="22" s="1"/>
  <c r="V79" i="22"/>
  <c r="V71" i="22"/>
  <c r="V63" i="22"/>
  <c r="V55" i="22"/>
  <c r="V47" i="22"/>
  <c r="V39" i="22"/>
  <c r="AB39" i="22" s="1"/>
  <c r="V31" i="22"/>
  <c r="AB31" i="22" s="1"/>
  <c r="V23" i="22"/>
  <c r="V15" i="22"/>
  <c r="W231" i="22"/>
  <c r="W222" i="22"/>
  <c r="V214" i="22"/>
  <c r="V206" i="22"/>
  <c r="V198" i="22"/>
  <c r="V190" i="22"/>
  <c r="V182" i="22"/>
  <c r="V174" i="22"/>
  <c r="V166" i="22"/>
  <c r="V158" i="22"/>
  <c r="V150" i="22"/>
  <c r="V142" i="22"/>
  <c r="V134" i="22"/>
  <c r="V126" i="22"/>
  <c r="V118" i="22"/>
  <c r="V110" i="22"/>
  <c r="V102" i="22"/>
  <c r="V94" i="22"/>
  <c r="AB94" i="22" s="1"/>
  <c r="V86" i="22"/>
  <c r="V78" i="22"/>
  <c r="V70" i="22"/>
  <c r="V62" i="22"/>
  <c r="V54" i="22"/>
  <c r="V46" i="22"/>
  <c r="AB46" i="22" s="1"/>
  <c r="V38" i="22"/>
  <c r="AB38" i="22" s="1"/>
  <c r="V30" i="22"/>
  <c r="V22" i="22"/>
  <c r="V14" i="22"/>
  <c r="V230" i="22"/>
  <c r="V221" i="22"/>
  <c r="W212" i="22"/>
  <c r="W204" i="22"/>
  <c r="W196" i="22"/>
  <c r="W188" i="22"/>
  <c r="W180" i="22"/>
  <c r="W172" i="22"/>
  <c r="W164" i="22"/>
  <c r="W156" i="22"/>
  <c r="W148" i="22"/>
  <c r="W140" i="22"/>
  <c r="W132" i="22"/>
  <c r="V219" i="22"/>
  <c r="V187" i="22"/>
  <c r="V155" i="22"/>
  <c r="W124" i="22"/>
  <c r="W101" i="22"/>
  <c r="V83" i="22"/>
  <c r="W60" i="22"/>
  <c r="W37" i="22"/>
  <c r="V19" i="22"/>
  <c r="W213" i="22"/>
  <c r="W181" i="22"/>
  <c r="W149" i="22"/>
  <c r="V123" i="22"/>
  <c r="W100" i="22"/>
  <c r="W77" i="22"/>
  <c r="V59" i="22"/>
  <c r="AB59" i="22" s="1"/>
  <c r="W36" i="22"/>
  <c r="W13" i="22"/>
  <c r="V211" i="22"/>
  <c r="V179" i="22"/>
  <c r="V147" i="22"/>
  <c r="W117" i="22"/>
  <c r="V99" i="22"/>
  <c r="W76" i="22"/>
  <c r="W53" i="22"/>
  <c r="V35" i="22"/>
  <c r="W12" i="22"/>
  <c r="W205" i="22"/>
  <c r="W173" i="22"/>
  <c r="W141" i="22"/>
  <c r="W116" i="22"/>
  <c r="W93" i="22"/>
  <c r="V75" i="22"/>
  <c r="W52" i="22"/>
  <c r="W29" i="22"/>
  <c r="V203" i="22"/>
  <c r="V171" i="22"/>
  <c r="V139" i="22"/>
  <c r="V115" i="22"/>
  <c r="W92" i="22"/>
  <c r="W69" i="22"/>
  <c r="V51" i="22"/>
  <c r="W28" i="22"/>
  <c r="V228" i="22"/>
  <c r="W133" i="22"/>
  <c r="W84" i="22"/>
  <c r="W21" i="22"/>
  <c r="V222" i="22"/>
  <c r="V131" i="22"/>
  <c r="W68" i="22"/>
  <c r="W20" i="22"/>
  <c r="W197" i="22"/>
  <c r="W125" i="22"/>
  <c r="V67" i="22"/>
  <c r="AB67" i="22" s="1"/>
  <c r="V195" i="22"/>
  <c r="W109" i="22"/>
  <c r="W61" i="22"/>
  <c r="W189" i="22"/>
  <c r="W45" i="22"/>
  <c r="V163" i="22"/>
  <c r="V43" i="22"/>
  <c r="W157" i="22"/>
  <c r="V27" i="22"/>
  <c r="V91" i="22"/>
  <c r="V107" i="22"/>
  <c r="W85" i="22"/>
  <c r="W44" i="22"/>
  <c r="W165" i="22"/>
  <c r="V231" i="22"/>
  <c r="W108" i="22"/>
  <c r="Q13" i="23"/>
  <c r="T13" i="23" s="1"/>
  <c r="Z13" i="23"/>
  <c r="Z25" i="23"/>
  <c r="Z38" i="23"/>
  <c r="P136" i="3"/>
  <c r="Q6" i="4"/>
  <c r="R18" i="2"/>
  <c r="O148" i="3"/>
  <c r="O164" i="3" s="1"/>
  <c r="P36" i="4" s="1"/>
  <c r="O141" i="3"/>
  <c r="O157" i="3" s="1"/>
  <c r="O143" i="3"/>
  <c r="O159" i="3" s="1"/>
  <c r="P32" i="4" s="1"/>
  <c r="O140" i="3"/>
  <c r="O156" i="3" s="1"/>
  <c r="P31" i="4" s="1"/>
  <c r="O137" i="3"/>
  <c r="O153" i="3" s="1"/>
  <c r="P28" i="4" s="1"/>
  <c r="O149" i="3"/>
  <c r="O165" i="3" s="1"/>
  <c r="O145" i="3"/>
  <c r="O161" i="3" s="1"/>
  <c r="O146" i="3"/>
  <c r="O162" i="3" s="1"/>
  <c r="O144" i="3"/>
  <c r="O160" i="3" s="1"/>
  <c r="P33" i="4" s="1"/>
  <c r="O142" i="3"/>
  <c r="O158" i="3" s="1"/>
  <c r="O147" i="3"/>
  <c r="O163" i="3" s="1"/>
  <c r="P35" i="4" s="1"/>
  <c r="O139" i="3"/>
  <c r="O155" i="3" s="1"/>
  <c r="P30" i="4" s="1"/>
  <c r="O138" i="3"/>
  <c r="O154" i="3" s="1"/>
  <c r="P29" i="4" s="1"/>
  <c r="O150" i="3"/>
  <c r="P51" i="23"/>
  <c r="S51" i="23" s="1"/>
  <c r="Y51" i="23"/>
  <c r="M4" i="12"/>
  <c r="L11" i="12"/>
  <c r="P74" i="3"/>
  <c r="P90" i="3" s="1"/>
  <c r="Q13" i="4" s="1"/>
  <c r="P72" i="3"/>
  <c r="P88" i="3" s="1"/>
  <c r="Q11" i="4" s="1"/>
  <c r="P77" i="3"/>
  <c r="P93" i="3" s="1"/>
  <c r="Q14" i="4" s="1"/>
  <c r="P84" i="3"/>
  <c r="P79" i="3"/>
  <c r="P95" i="3" s="1"/>
  <c r="P80" i="3"/>
  <c r="P96" i="3" s="1"/>
  <c r="P82" i="3"/>
  <c r="P98" i="3" s="1"/>
  <c r="Q18" i="4" s="1"/>
  <c r="P73" i="3"/>
  <c r="P89" i="3" s="1"/>
  <c r="Q12" i="4" s="1"/>
  <c r="P75" i="3"/>
  <c r="P91" i="3" s="1"/>
  <c r="P71" i="3"/>
  <c r="P87" i="3" s="1"/>
  <c r="Q10" i="4" s="1"/>
  <c r="P78" i="3"/>
  <c r="P94" i="3" s="1"/>
  <c r="Q15" i="4" s="1"/>
  <c r="P76" i="3"/>
  <c r="P92" i="3" s="1"/>
  <c r="P83" i="3"/>
  <c r="P99" i="3" s="1"/>
  <c r="P81" i="3"/>
  <c r="P97" i="3" s="1"/>
  <c r="P92" i="23"/>
  <c r="S92" i="23" s="1"/>
  <c r="Y92" i="23"/>
  <c r="P20" i="23"/>
  <c r="S20" i="23" s="1"/>
  <c r="Y20" i="23"/>
  <c r="Z32" i="23"/>
  <c r="P30" i="23"/>
  <c r="S30" i="23" s="1"/>
  <c r="Y30" i="23"/>
  <c r="Q62" i="23"/>
  <c r="T62" i="23" s="1"/>
  <c r="Z62" i="23"/>
  <c r="Q26" i="23"/>
  <c r="T26" i="23" s="1"/>
  <c r="Z26" i="23"/>
  <c r="Q51" i="23"/>
  <c r="T51" i="23" s="1"/>
  <c r="Z51" i="23"/>
  <c r="R107" i="4"/>
  <c r="R127" i="4" s="1"/>
  <c r="S62" i="4"/>
  <c r="O104" i="3"/>
  <c r="O120" i="3" s="1"/>
  <c r="P19" i="4" s="1"/>
  <c r="O113" i="3"/>
  <c r="O129" i="3" s="1"/>
  <c r="O111" i="3"/>
  <c r="O127" i="3" s="1"/>
  <c r="P24" i="4" s="1"/>
  <c r="O107" i="3"/>
  <c r="O123" i="3" s="1"/>
  <c r="P22" i="4" s="1"/>
  <c r="O116" i="3"/>
  <c r="O132" i="3" s="1"/>
  <c r="O109" i="3"/>
  <c r="O125" i="3" s="1"/>
  <c r="O112" i="3"/>
  <c r="O128" i="3" s="1"/>
  <c r="O114" i="3"/>
  <c r="O130" i="3" s="1"/>
  <c r="P26" i="4" s="1"/>
  <c r="O106" i="3"/>
  <c r="O122" i="3" s="1"/>
  <c r="P21" i="4" s="1"/>
  <c r="O108" i="3"/>
  <c r="O124" i="3" s="1"/>
  <c r="O117" i="3"/>
  <c r="O115" i="3"/>
  <c r="O131" i="3" s="1"/>
  <c r="P27" i="4" s="1"/>
  <c r="O110" i="3"/>
  <c r="O126" i="3" s="1"/>
  <c r="P23" i="4" s="1"/>
  <c r="O105" i="3"/>
  <c r="O121" i="3" s="1"/>
  <c r="P20" i="4" s="1"/>
  <c r="O34" i="4"/>
  <c r="O87" i="4" s="1"/>
  <c r="N166" i="3"/>
  <c r="M2" i="12"/>
  <c r="L9" i="12"/>
  <c r="O65" i="4"/>
  <c r="Q61" i="23"/>
  <c r="T61" i="23" s="1"/>
  <c r="Z61" i="23"/>
  <c r="Z41" i="23"/>
  <c r="Q16" i="23"/>
  <c r="T16" i="23" s="1"/>
  <c r="Z16" i="23"/>
  <c r="Q72" i="23"/>
  <c r="T72" i="23" s="1"/>
  <c r="Z72" i="23"/>
  <c r="O38" i="4"/>
  <c r="P12" i="23"/>
  <c r="S12" i="23" s="1"/>
  <c r="Y12" i="23"/>
  <c r="O69" i="4"/>
  <c r="O89" i="4"/>
  <c r="O81" i="4"/>
  <c r="P23" i="23"/>
  <c r="S23" i="23" s="1"/>
  <c r="Y23" i="23"/>
  <c r="O40" i="4"/>
  <c r="N102" i="4"/>
  <c r="L10" i="12"/>
  <c r="M3" i="12"/>
  <c r="Q70" i="3"/>
  <c r="R4" i="4"/>
  <c r="S16" i="2"/>
  <c r="R78" i="4"/>
  <c r="Q108" i="4"/>
  <c r="Q128" i="4" s="1"/>
  <c r="T101" i="4"/>
  <c r="T123" i="4" s="1"/>
  <c r="U56" i="4"/>
  <c r="O42" i="4"/>
  <c r="Q78" i="23"/>
  <c r="T78" i="23" s="1"/>
  <c r="Z78" i="23"/>
  <c r="P48" i="23"/>
  <c r="S48" i="23" s="1"/>
  <c r="Y48" i="23"/>
  <c r="P28" i="23"/>
  <c r="S28" i="23" s="1"/>
  <c r="Q14" i="23"/>
  <c r="T14" i="23" s="1"/>
  <c r="Z14" i="23"/>
  <c r="Z46" i="23"/>
  <c r="P69" i="23" l="1"/>
  <c r="S69" i="23" s="1"/>
  <c r="Y37" i="23"/>
  <c r="Z29" i="23"/>
  <c r="Z60" i="23"/>
  <c r="P32" i="23"/>
  <c r="S32" i="23" s="1"/>
  <c r="Y68" i="23"/>
  <c r="Q47" i="23"/>
  <c r="T47" i="23" s="1"/>
  <c r="Y78" i="23"/>
  <c r="Y75" i="23"/>
  <c r="Z34" i="23"/>
  <c r="Y77" i="23"/>
  <c r="Y57" i="23"/>
  <c r="Q71" i="23"/>
  <c r="T71" i="23" s="1"/>
  <c r="P34" i="23"/>
  <c r="S34" i="23" s="1"/>
  <c r="P93" i="23"/>
  <c r="S93" i="23" s="1"/>
  <c r="Y42" i="23"/>
  <c r="Y84" i="23"/>
  <c r="Z23" i="23"/>
  <c r="P17" i="23"/>
  <c r="S17" i="23" s="1"/>
  <c r="Y16" i="23"/>
  <c r="Q20" i="23"/>
  <c r="T20" i="23" s="1"/>
  <c r="Z95" i="23"/>
  <c r="Q28" i="23"/>
  <c r="T28" i="23" s="1"/>
  <c r="P38" i="23"/>
  <c r="S38" i="23" s="1"/>
  <c r="Z42" i="23"/>
  <c r="P25" i="23"/>
  <c r="S25" i="23" s="1"/>
  <c r="Z45" i="23"/>
  <c r="Q65" i="23"/>
  <c r="T65" i="23" s="1"/>
  <c r="P80" i="23"/>
  <c r="S80" i="23" s="1"/>
  <c r="P46" i="23"/>
  <c r="S46" i="23" s="1"/>
  <c r="Q49" i="23"/>
  <c r="T49" i="23" s="1"/>
  <c r="Y47" i="23"/>
  <c r="Y50" i="23"/>
  <c r="P87" i="23"/>
  <c r="S87" i="23" s="1"/>
  <c r="Z55" i="23"/>
  <c r="P29" i="23"/>
  <c r="S29" i="23" s="1"/>
  <c r="Q77" i="23"/>
  <c r="T77" i="23" s="1"/>
  <c r="Y62" i="23"/>
  <c r="Y85" i="23"/>
  <c r="Y76" i="23"/>
  <c r="Z63" i="23"/>
  <c r="P52" i="23"/>
  <c r="S52" i="23" s="1"/>
  <c r="P72" i="23"/>
  <c r="S72" i="23" s="1"/>
  <c r="Y33" i="23"/>
  <c r="Z79" i="23"/>
  <c r="Y70" i="23"/>
  <c r="Z89" i="23"/>
  <c r="Y14" i="23"/>
  <c r="P66" i="23"/>
  <c r="S66" i="23" s="1"/>
  <c r="P56" i="23"/>
  <c r="S56" i="23" s="1"/>
  <c r="P21" i="23"/>
  <c r="S21" i="23" s="1"/>
  <c r="P67" i="23"/>
  <c r="S67" i="23" s="1"/>
  <c r="Q76" i="23"/>
  <c r="T76" i="23" s="1"/>
  <c r="Y89" i="23"/>
  <c r="Y15" i="23"/>
  <c r="Z82" i="23"/>
  <c r="P18" i="23"/>
  <c r="S18" i="23" s="1"/>
  <c r="P19" i="23"/>
  <c r="S19" i="23" s="1"/>
  <c r="Z67" i="23"/>
  <c r="P36" i="23"/>
  <c r="S36" i="23" s="1"/>
  <c r="Q75" i="23"/>
  <c r="T75" i="23" s="1"/>
  <c r="Z90" i="23"/>
  <c r="P86" i="23"/>
  <c r="S86" i="23" s="1"/>
  <c r="P81" i="23"/>
  <c r="S81" i="23" s="1"/>
  <c r="Z92" i="23"/>
  <c r="P53" i="23"/>
  <c r="S53" i="23" s="1"/>
  <c r="Y71" i="23"/>
  <c r="Q83" i="23"/>
  <c r="T83" i="23" s="1"/>
  <c r="Q12" i="23"/>
  <c r="T12" i="23" s="1"/>
  <c r="P59" i="23"/>
  <c r="S59" i="23" s="1"/>
  <c r="Z48" i="23"/>
  <c r="Z30" i="23"/>
  <c r="P44" i="23"/>
  <c r="S44" i="23" s="1"/>
  <c r="Y82" i="23"/>
  <c r="Z56" i="23"/>
  <c r="P39" i="23"/>
  <c r="S39" i="23" s="1"/>
  <c r="P31" i="23"/>
  <c r="S31" i="23" s="1"/>
  <c r="Y13" i="23"/>
  <c r="P54" i="23"/>
  <c r="S54" i="23" s="1"/>
  <c r="Y27" i="23"/>
  <c r="P49" i="23"/>
  <c r="S49" i="23" s="1"/>
  <c r="P43" i="23"/>
  <c r="S43" i="23" s="1"/>
  <c r="Y26" i="23"/>
  <c r="Z37" i="23"/>
  <c r="Y63" i="23"/>
  <c r="Z52" i="23"/>
  <c r="P73" i="23"/>
  <c r="S73" i="23" s="1"/>
  <c r="Y35" i="23"/>
  <c r="Y58" i="23"/>
  <c r="Z39" i="23"/>
  <c r="P90" i="23"/>
  <c r="S90" i="23" s="1"/>
  <c r="Z27" i="23"/>
  <c r="Z35" i="23"/>
  <c r="Z40" i="23"/>
  <c r="Z33" i="23"/>
  <c r="P24" i="23"/>
  <c r="S24" i="23" s="1"/>
  <c r="Z70" i="23"/>
  <c r="Q68" i="23"/>
  <c r="T68" i="23" s="1"/>
  <c r="Q84" i="23"/>
  <c r="T84" i="23" s="1"/>
  <c r="P64" i="23"/>
  <c r="S64" i="23" s="1"/>
  <c r="P79" i="23"/>
  <c r="S79" i="23" s="1"/>
  <c r="Q64" i="23"/>
  <c r="T64" i="23" s="1"/>
  <c r="Z59" i="23"/>
  <c r="Z15" i="23"/>
  <c r="Z31" i="23"/>
  <c r="Z44" i="23"/>
  <c r="Z85" i="23"/>
  <c r="Y22" i="23"/>
  <c r="Z43" i="23"/>
  <c r="Z22" i="23"/>
  <c r="Z73" i="23"/>
  <c r="Z57" i="23"/>
  <c r="Z50" i="23"/>
  <c r="Z91" i="23"/>
  <c r="Z69" i="23"/>
  <c r="Z86" i="23"/>
  <c r="Z54" i="23"/>
  <c r="Z74" i="23"/>
  <c r="Y61" i="23"/>
  <c r="P94" i="23"/>
  <c r="S94" i="23" s="1"/>
  <c r="P88" i="23"/>
  <c r="S88" i="23" s="1"/>
  <c r="O98" i="4"/>
  <c r="N133" i="4"/>
  <c r="N122" i="4"/>
  <c r="N124" i="4"/>
  <c r="N110" i="4"/>
  <c r="N115" i="4" s="1"/>
  <c r="R19" i="2"/>
  <c r="R7" i="4" s="1"/>
  <c r="N120" i="4"/>
  <c r="Q106" i="4"/>
  <c r="Q20" i="2"/>
  <c r="O94" i="4"/>
  <c r="P19" i="3"/>
  <c r="P42" i="3" s="1"/>
  <c r="O99" i="4"/>
  <c r="N121" i="4"/>
  <c r="O104" i="4"/>
  <c r="O135" i="4" s="1"/>
  <c r="O95" i="4"/>
  <c r="M132" i="4"/>
  <c r="O97" i="4"/>
  <c r="O96" i="4"/>
  <c r="Q59" i="4"/>
  <c r="P79" i="4"/>
  <c r="P73" i="4"/>
  <c r="P83" i="4"/>
  <c r="P39" i="4"/>
  <c r="P88" i="4"/>
  <c r="P68" i="4"/>
  <c r="P41" i="4"/>
  <c r="P84" i="4"/>
  <c r="P42" i="4"/>
  <c r="P89" i="4"/>
  <c r="P82" i="4"/>
  <c r="Q53" i="4"/>
  <c r="P81" i="4"/>
  <c r="P65" i="4"/>
  <c r="P38" i="4"/>
  <c r="Q52" i="4"/>
  <c r="P37" i="4"/>
  <c r="AB35" i="22"/>
  <c r="P35" i="22"/>
  <c r="S35" i="22" s="1"/>
  <c r="AB86" i="22"/>
  <c r="P86" i="22"/>
  <c r="S86" i="22" s="1"/>
  <c r="AC88" i="22"/>
  <c r="P88" i="22"/>
  <c r="S88" i="22" s="1"/>
  <c r="AC38" i="22"/>
  <c r="P38" i="22"/>
  <c r="S38" i="22" s="1"/>
  <c r="AB76" i="22"/>
  <c r="P76" i="22"/>
  <c r="S76" i="22" s="1"/>
  <c r="Q90" i="19"/>
  <c r="T90" i="19" s="1"/>
  <c r="Z90" i="19"/>
  <c r="P78" i="19"/>
  <c r="S78" i="19" s="1"/>
  <c r="Y78" i="19"/>
  <c r="Q49" i="19"/>
  <c r="T49" i="19" s="1"/>
  <c r="Z49" i="19"/>
  <c r="P12" i="19"/>
  <c r="S12" i="19" s="1"/>
  <c r="Y12" i="19"/>
  <c r="Q75" i="19"/>
  <c r="T75" i="19" s="1"/>
  <c r="Z75" i="19"/>
  <c r="Q12" i="19"/>
  <c r="T12" i="19" s="1"/>
  <c r="Z12" i="19"/>
  <c r="Q44" i="19"/>
  <c r="T44" i="19" s="1"/>
  <c r="Z44" i="19"/>
  <c r="Q76" i="19"/>
  <c r="T76" i="19" s="1"/>
  <c r="Z76" i="19"/>
  <c r="P74" i="4"/>
  <c r="AC32" i="22"/>
  <c r="P32" i="22"/>
  <c r="S32" i="22" s="1"/>
  <c r="AC65" i="22"/>
  <c r="Q65" i="22"/>
  <c r="T65" i="22" s="1"/>
  <c r="AC74" i="22"/>
  <c r="P74" i="22"/>
  <c r="S74" i="22" s="1"/>
  <c r="AB12" i="22"/>
  <c r="P12" i="22"/>
  <c r="S12" i="22" s="1"/>
  <c r="AB16" i="22"/>
  <c r="P16" i="22"/>
  <c r="S16" i="22" s="1"/>
  <c r="P19" i="19"/>
  <c r="S19" i="19" s="1"/>
  <c r="Y19" i="19"/>
  <c r="Q77" i="3"/>
  <c r="Q93" i="3" s="1"/>
  <c r="R14" i="4" s="1"/>
  <c r="Q80" i="3"/>
  <c r="Q96" i="3" s="1"/>
  <c r="Q83" i="3"/>
  <c r="Q99" i="3" s="1"/>
  <c r="Q74" i="3"/>
  <c r="Q90" i="3" s="1"/>
  <c r="R13" i="4" s="1"/>
  <c r="Q71" i="3"/>
  <c r="Q87" i="3" s="1"/>
  <c r="R10" i="4" s="1"/>
  <c r="Q84" i="3"/>
  <c r="Q76" i="3"/>
  <c r="Q92" i="3" s="1"/>
  <c r="Q78" i="3"/>
  <c r="Q94" i="3" s="1"/>
  <c r="R15" i="4" s="1"/>
  <c r="Q73" i="3"/>
  <c r="Q89" i="3" s="1"/>
  <c r="R12" i="4" s="1"/>
  <c r="Q79" i="3"/>
  <c r="Q95" i="3" s="1"/>
  <c r="Q75" i="3"/>
  <c r="Q91" i="3" s="1"/>
  <c r="Q81" i="3"/>
  <c r="Q97" i="3" s="1"/>
  <c r="Q72" i="3"/>
  <c r="Q88" i="3" s="1"/>
  <c r="R11" i="4" s="1"/>
  <c r="Q82" i="3"/>
  <c r="Q98" i="3" s="1"/>
  <c r="R18" i="4" s="1"/>
  <c r="AC37" i="22"/>
  <c r="Q37" i="22"/>
  <c r="T37" i="22" s="1"/>
  <c r="AB13" i="22"/>
  <c r="P13" i="22"/>
  <c r="S13" i="22" s="1"/>
  <c r="AC46" i="22"/>
  <c r="P46" i="22"/>
  <c r="S46" i="22" s="1"/>
  <c r="P84" i="19"/>
  <c r="S84" i="19" s="1"/>
  <c r="Y84" i="19"/>
  <c r="Q20" i="19"/>
  <c r="T20" i="19" s="1"/>
  <c r="Z20" i="19"/>
  <c r="AB27" i="22"/>
  <c r="P27" i="22"/>
  <c r="S27" i="22" s="1"/>
  <c r="AC21" i="22"/>
  <c r="Q21" i="22"/>
  <c r="T21" i="22" s="1"/>
  <c r="AC77" i="22"/>
  <c r="Q77" i="22"/>
  <c r="T77" i="22" s="1"/>
  <c r="AC60" i="22"/>
  <c r="P60" i="22"/>
  <c r="S60" i="22" s="1"/>
  <c r="AB15" i="22"/>
  <c r="P15" i="22"/>
  <c r="S15" i="22" s="1"/>
  <c r="AB79" i="22"/>
  <c r="P79" i="22"/>
  <c r="S79" i="22" s="1"/>
  <c r="AC48" i="22"/>
  <c r="Q48" i="22"/>
  <c r="T48" i="22" s="1"/>
  <c r="AC17" i="22"/>
  <c r="P17" i="22"/>
  <c r="S17" i="22" s="1"/>
  <c r="AC81" i="22"/>
  <c r="P81" i="22"/>
  <c r="S81" i="22" s="1"/>
  <c r="AB50" i="22"/>
  <c r="P50" i="22"/>
  <c r="S50" i="22" s="1"/>
  <c r="AB49" i="22"/>
  <c r="P49" i="22"/>
  <c r="S49" i="22" s="1"/>
  <c r="AC18" i="22"/>
  <c r="P18" i="22"/>
  <c r="S18" i="22" s="1"/>
  <c r="AC50" i="22"/>
  <c r="Q50" i="22"/>
  <c r="T50" i="22" s="1"/>
  <c r="AC82" i="22"/>
  <c r="Q82" i="22"/>
  <c r="T82" i="22" s="1"/>
  <c r="AC19" i="22"/>
  <c r="Q19" i="22"/>
  <c r="T19" i="22" s="1"/>
  <c r="AC51" i="22"/>
  <c r="Q51" i="22"/>
  <c r="T51" i="22" s="1"/>
  <c r="AC83" i="22"/>
  <c r="Q83" i="22"/>
  <c r="T83" i="22" s="1"/>
  <c r="AB56" i="22"/>
  <c r="P56" i="22"/>
  <c r="S56" i="22" s="1"/>
  <c r="Q13" i="19"/>
  <c r="T13" i="19" s="1"/>
  <c r="Z13" i="19"/>
  <c r="Q34" i="19"/>
  <c r="T34" i="19" s="1"/>
  <c r="Z34" i="19"/>
  <c r="P37" i="19"/>
  <c r="S37" i="19" s="1"/>
  <c r="Y37" i="19"/>
  <c r="Q69" i="19"/>
  <c r="T69" i="19" s="1"/>
  <c r="Z69" i="19"/>
  <c r="P29" i="19"/>
  <c r="S29" i="19" s="1"/>
  <c r="Y29" i="19"/>
  <c r="P38" i="19"/>
  <c r="S38" i="19" s="1"/>
  <c r="Y38" i="19"/>
  <c r="Q70" i="19"/>
  <c r="T70" i="19" s="1"/>
  <c r="Z70" i="19"/>
  <c r="P41" i="19"/>
  <c r="S41" i="19" s="1"/>
  <c r="Y41" i="19"/>
  <c r="Q73" i="19"/>
  <c r="T73" i="19" s="1"/>
  <c r="Z73" i="19"/>
  <c r="P27" i="19"/>
  <c r="S27" i="19" s="1"/>
  <c r="Y27" i="19"/>
  <c r="P59" i="19"/>
  <c r="S59" i="19" s="1"/>
  <c r="Y59" i="19"/>
  <c r="P91" i="19"/>
  <c r="S91" i="19" s="1"/>
  <c r="Y91" i="19"/>
  <c r="Q23" i="19"/>
  <c r="T23" i="19" s="1"/>
  <c r="Z23" i="19"/>
  <c r="Q55" i="19"/>
  <c r="T55" i="19" s="1"/>
  <c r="Z55" i="19"/>
  <c r="Q87" i="19"/>
  <c r="T87" i="19" s="1"/>
  <c r="Z87" i="19"/>
  <c r="P24" i="19"/>
  <c r="S24" i="19" s="1"/>
  <c r="Y24" i="19"/>
  <c r="P56" i="19"/>
  <c r="S56" i="19" s="1"/>
  <c r="Y56" i="19"/>
  <c r="P88" i="19"/>
  <c r="S88" i="19" s="1"/>
  <c r="Y88" i="19"/>
  <c r="Q24" i="19"/>
  <c r="T24" i="19" s="1"/>
  <c r="Z24" i="19"/>
  <c r="Q56" i="19"/>
  <c r="T56" i="19" s="1"/>
  <c r="Z56" i="19"/>
  <c r="Q88" i="19"/>
  <c r="T88" i="19" s="1"/>
  <c r="Z88" i="19"/>
  <c r="P112" i="3"/>
  <c r="P128" i="3" s="1"/>
  <c r="P114" i="3"/>
  <c r="P130" i="3" s="1"/>
  <c r="Q26" i="4" s="1"/>
  <c r="P116" i="3"/>
  <c r="P132" i="3" s="1"/>
  <c r="P105" i="3"/>
  <c r="P121" i="3" s="1"/>
  <c r="Q20" i="4" s="1"/>
  <c r="P115" i="3"/>
  <c r="P131" i="3" s="1"/>
  <c r="Q27" i="4" s="1"/>
  <c r="P113" i="3"/>
  <c r="P129" i="3" s="1"/>
  <c r="P117" i="3"/>
  <c r="P106" i="3"/>
  <c r="P122" i="3" s="1"/>
  <c r="Q21" i="4" s="1"/>
  <c r="P104" i="3"/>
  <c r="P120" i="3" s="1"/>
  <c r="Q19" i="4" s="1"/>
  <c r="P110" i="3"/>
  <c r="P126" i="3" s="1"/>
  <c r="Q23" i="4" s="1"/>
  <c r="P109" i="3"/>
  <c r="P125" i="3" s="1"/>
  <c r="P108" i="3"/>
  <c r="P124" i="3" s="1"/>
  <c r="P107" i="3"/>
  <c r="P123" i="3" s="1"/>
  <c r="Q22" i="4" s="1"/>
  <c r="P111" i="3"/>
  <c r="P127" i="3" s="1"/>
  <c r="Q24" i="4" s="1"/>
  <c r="T51" i="5"/>
  <c r="S55" i="5"/>
  <c r="S107" i="4"/>
  <c r="S127" i="4" s="1"/>
  <c r="T62" i="4"/>
  <c r="AC85" i="22"/>
  <c r="Q85" i="22"/>
  <c r="T85" i="22" s="1"/>
  <c r="AB51" i="22"/>
  <c r="P51" i="22"/>
  <c r="S51" i="22" s="1"/>
  <c r="AC13" i="22"/>
  <c r="Q13" i="22"/>
  <c r="T13" i="22" s="1"/>
  <c r="AC24" i="22"/>
  <c r="P24" i="22"/>
  <c r="S24" i="22" s="1"/>
  <c r="AC57" i="22"/>
  <c r="Q57" i="22"/>
  <c r="T57" i="22" s="1"/>
  <c r="AC39" i="22"/>
  <c r="P39" i="22"/>
  <c r="S39" i="22" s="1"/>
  <c r="Q46" i="19"/>
  <c r="T46" i="19" s="1"/>
  <c r="Z46" i="19"/>
  <c r="P47" i="19"/>
  <c r="S47" i="19" s="1"/>
  <c r="Y47" i="19"/>
  <c r="P44" i="19"/>
  <c r="S44" i="19" s="1"/>
  <c r="Y44" i="19"/>
  <c r="P64" i="4"/>
  <c r="P80" i="4"/>
  <c r="AC61" i="22"/>
  <c r="Q61" i="22"/>
  <c r="T61" i="22" s="1"/>
  <c r="AB75" i="22"/>
  <c r="P75" i="22"/>
  <c r="S75" i="22" s="1"/>
  <c r="AB19" i="22"/>
  <c r="P19" i="22"/>
  <c r="S19" i="22" s="1"/>
  <c r="AB34" i="22"/>
  <c r="P34" i="22"/>
  <c r="S34" i="22" s="1"/>
  <c r="AB41" i="22"/>
  <c r="P41" i="22"/>
  <c r="S41" i="22" s="1"/>
  <c r="AC43" i="22"/>
  <c r="Q43" i="22"/>
  <c r="T43" i="22" s="1"/>
  <c r="AB48" i="22"/>
  <c r="P48" i="22"/>
  <c r="S48" i="22" s="1"/>
  <c r="Q29" i="19"/>
  <c r="T29" i="19" s="1"/>
  <c r="Z29" i="19"/>
  <c r="P74" i="19"/>
  <c r="S74" i="19" s="1"/>
  <c r="Y74" i="19"/>
  <c r="P22" i="19"/>
  <c r="S22" i="19" s="1"/>
  <c r="Y22" i="19"/>
  <c r="P86" i="19"/>
  <c r="S86" i="19" s="1"/>
  <c r="Y86" i="19"/>
  <c r="Q54" i="19"/>
  <c r="T54" i="19" s="1"/>
  <c r="Z54" i="19"/>
  <c r="Q57" i="19"/>
  <c r="T57" i="19" s="1"/>
  <c r="Z57" i="19"/>
  <c r="Q47" i="19"/>
  <c r="T47" i="19" s="1"/>
  <c r="Z47" i="19"/>
  <c r="P16" i="19"/>
  <c r="S16" i="19" s="1"/>
  <c r="Y16" i="19"/>
  <c r="Q16" i="19"/>
  <c r="T16" i="19" s="1"/>
  <c r="Z16" i="19"/>
  <c r="Q48" i="19"/>
  <c r="T48" i="19" s="1"/>
  <c r="Z48" i="19"/>
  <c r="Q80" i="19"/>
  <c r="T80" i="19" s="1"/>
  <c r="Z80" i="19"/>
  <c r="P67" i="4"/>
  <c r="AC73" i="22"/>
  <c r="P73" i="22"/>
  <c r="S73" i="22" s="1"/>
  <c r="P94" i="19"/>
  <c r="S94" i="19" s="1"/>
  <c r="Y94" i="19"/>
  <c r="Q51" i="19"/>
  <c r="T51" i="19" s="1"/>
  <c r="Z51" i="19"/>
  <c r="P20" i="19"/>
  <c r="S20" i="19" s="1"/>
  <c r="Y20" i="19"/>
  <c r="Q52" i="19"/>
  <c r="T52" i="19" s="1"/>
  <c r="Z52" i="19"/>
  <c r="Q49" i="4"/>
  <c r="AC84" i="22"/>
  <c r="Q84" i="22"/>
  <c r="T84" i="22" s="1"/>
  <c r="AB83" i="22"/>
  <c r="P83" i="22"/>
  <c r="S83" i="22" s="1"/>
  <c r="AB54" i="22"/>
  <c r="P54" i="22"/>
  <c r="S54" i="22" s="1"/>
  <c r="AB23" i="22"/>
  <c r="P23" i="22"/>
  <c r="S23" i="22" s="1"/>
  <c r="AC56" i="22"/>
  <c r="Q56" i="22"/>
  <c r="T56" i="22" s="1"/>
  <c r="AC25" i="22"/>
  <c r="P25" i="22"/>
  <c r="S25" i="22" s="1"/>
  <c r="AC89" i="22"/>
  <c r="Q89" i="22"/>
  <c r="T89" i="22" s="1"/>
  <c r="AB58" i="22"/>
  <c r="P58" i="22"/>
  <c r="S58" i="22" s="1"/>
  <c r="AB21" i="22"/>
  <c r="P21" i="22"/>
  <c r="S21" i="22" s="1"/>
  <c r="AB85" i="22"/>
  <c r="P85" i="22"/>
  <c r="S85" i="22" s="1"/>
  <c r="AC22" i="22"/>
  <c r="Q22" i="22"/>
  <c r="T22" i="22" s="1"/>
  <c r="AC54" i="22"/>
  <c r="Q54" i="22"/>
  <c r="T54" i="22" s="1"/>
  <c r="AC86" i="22"/>
  <c r="Q86" i="22"/>
  <c r="T86" i="22" s="1"/>
  <c r="AC23" i="22"/>
  <c r="Q23" i="22"/>
  <c r="T23" i="22" s="1"/>
  <c r="AC55" i="22"/>
  <c r="Q55" i="22"/>
  <c r="T55" i="22" s="1"/>
  <c r="AC87" i="22"/>
  <c r="P87" i="22"/>
  <c r="S87" i="22" s="1"/>
  <c r="AB28" i="22"/>
  <c r="P28" i="22"/>
  <c r="S28" i="22" s="1"/>
  <c r="AB92" i="22"/>
  <c r="P92" i="22"/>
  <c r="S92" i="22" s="1"/>
  <c r="P106" i="4"/>
  <c r="Q18" i="19"/>
  <c r="T18" i="19" s="1"/>
  <c r="Z18" i="19"/>
  <c r="P82" i="19"/>
  <c r="S82" i="19" s="1"/>
  <c r="Y82" i="19"/>
  <c r="P53" i="19"/>
  <c r="S53" i="19" s="1"/>
  <c r="Y53" i="19"/>
  <c r="Q85" i="19"/>
  <c r="T85" i="19" s="1"/>
  <c r="Z85" i="19"/>
  <c r="Q26" i="19"/>
  <c r="T26" i="19" s="1"/>
  <c r="Z26" i="19"/>
  <c r="P45" i="19"/>
  <c r="S45" i="19" s="1"/>
  <c r="Y45" i="19"/>
  <c r="P46" i="19"/>
  <c r="S46" i="19" s="1"/>
  <c r="Y46" i="19"/>
  <c r="Q14" i="19"/>
  <c r="T14" i="19" s="1"/>
  <c r="Z14" i="19"/>
  <c r="Q78" i="19"/>
  <c r="T78" i="19" s="1"/>
  <c r="Z78" i="19"/>
  <c r="P49" i="19"/>
  <c r="S49" i="19" s="1"/>
  <c r="Y49" i="19"/>
  <c r="Q17" i="19"/>
  <c r="T17" i="19" s="1"/>
  <c r="Z17" i="19"/>
  <c r="Q81" i="19"/>
  <c r="T81" i="19" s="1"/>
  <c r="Z81" i="19"/>
  <c r="P31" i="19"/>
  <c r="S31" i="19" s="1"/>
  <c r="Y31" i="19"/>
  <c r="P63" i="19"/>
  <c r="S63" i="19" s="1"/>
  <c r="Y63" i="19"/>
  <c r="P95" i="19"/>
  <c r="S95" i="19" s="1"/>
  <c r="Y95" i="19"/>
  <c r="Q27" i="19"/>
  <c r="T27" i="19" s="1"/>
  <c r="Z27" i="19"/>
  <c r="Q59" i="19"/>
  <c r="T59" i="19" s="1"/>
  <c r="Z59" i="19"/>
  <c r="Q91" i="19"/>
  <c r="T91" i="19" s="1"/>
  <c r="Z91" i="19"/>
  <c r="P28" i="19"/>
  <c r="S28" i="19" s="1"/>
  <c r="Y28" i="19"/>
  <c r="P60" i="19"/>
  <c r="S60" i="19" s="1"/>
  <c r="Y60" i="19"/>
  <c r="P92" i="19"/>
  <c r="S92" i="19" s="1"/>
  <c r="Y92" i="19"/>
  <c r="Q28" i="19"/>
  <c r="T28" i="19" s="1"/>
  <c r="Z28" i="19"/>
  <c r="Q60" i="19"/>
  <c r="T60" i="19" s="1"/>
  <c r="Z60" i="19"/>
  <c r="Q92" i="19"/>
  <c r="T92" i="19" s="1"/>
  <c r="Z92" i="19"/>
  <c r="R6" i="4"/>
  <c r="Q136" i="3"/>
  <c r="S18" i="2"/>
  <c r="AC52" i="22"/>
  <c r="P52" i="22"/>
  <c r="S52" i="22" s="1"/>
  <c r="AB22" i="22"/>
  <c r="P22" i="22"/>
  <c r="S22" i="22" s="1"/>
  <c r="AB26" i="22"/>
  <c r="P26" i="22"/>
  <c r="S26" i="22" s="1"/>
  <c r="AB37" i="22"/>
  <c r="P37" i="22"/>
  <c r="S37" i="22" s="1"/>
  <c r="AC71" i="22"/>
  <c r="Q71" i="22"/>
  <c r="T71" i="22" s="1"/>
  <c r="Q21" i="19"/>
  <c r="T21" i="19" s="1"/>
  <c r="Z21" i="19"/>
  <c r="P17" i="19"/>
  <c r="S17" i="19" s="1"/>
  <c r="Y17" i="19"/>
  <c r="P81" i="19"/>
  <c r="S81" i="19" s="1"/>
  <c r="Y81" i="19"/>
  <c r="P15" i="19"/>
  <c r="S15" i="19" s="1"/>
  <c r="Y15" i="19"/>
  <c r="P79" i="19"/>
  <c r="S79" i="19" s="1"/>
  <c r="Y79" i="19"/>
  <c r="P76" i="19"/>
  <c r="S76" i="19" s="1"/>
  <c r="Y76" i="19"/>
  <c r="P66" i="4"/>
  <c r="Q54" i="4"/>
  <c r="AC53" i="22"/>
  <c r="P53" i="22"/>
  <c r="S53" i="22" s="1"/>
  <c r="AC36" i="22"/>
  <c r="Q36" i="22"/>
  <c r="T36" i="22" s="1"/>
  <c r="AB30" i="22"/>
  <c r="P30" i="22"/>
  <c r="S30" i="22" s="1"/>
  <c r="AC42" i="22"/>
  <c r="Q42" i="22"/>
  <c r="T42" i="22" s="1"/>
  <c r="Q82" i="19"/>
  <c r="T82" i="19" s="1"/>
  <c r="Z82" i="19"/>
  <c r="Q37" i="19"/>
  <c r="T37" i="19" s="1"/>
  <c r="Z37" i="19"/>
  <c r="P89" i="19"/>
  <c r="S89" i="19" s="1"/>
  <c r="Y89" i="19"/>
  <c r="P83" i="19"/>
  <c r="S83" i="19" s="1"/>
  <c r="Y83" i="19"/>
  <c r="AB91" i="22"/>
  <c r="P91" i="22"/>
  <c r="S91" i="22" s="1"/>
  <c r="AC93" i="22"/>
  <c r="Q93" i="22"/>
  <c r="T93" i="22" s="1"/>
  <c r="AC14" i="22"/>
  <c r="Q14" i="22"/>
  <c r="T14" i="22" s="1"/>
  <c r="AC15" i="22"/>
  <c r="Q15" i="22"/>
  <c r="T15" i="22" s="1"/>
  <c r="P90" i="19"/>
  <c r="S90" i="19" s="1"/>
  <c r="Y90" i="19"/>
  <c r="P13" i="19"/>
  <c r="S13" i="19" s="1"/>
  <c r="Y13" i="19"/>
  <c r="Q62" i="19"/>
  <c r="T62" i="19" s="1"/>
  <c r="Z62" i="19"/>
  <c r="P33" i="19"/>
  <c r="S33" i="19" s="1"/>
  <c r="Y33" i="19"/>
  <c r="P55" i="19"/>
  <c r="S55" i="19" s="1"/>
  <c r="Y55" i="19"/>
  <c r="P87" i="19"/>
  <c r="S87" i="19" s="1"/>
  <c r="Y87" i="19"/>
  <c r="Q19" i="19"/>
  <c r="T19" i="19" s="1"/>
  <c r="Z19" i="19"/>
  <c r="Q51" i="4"/>
  <c r="U101" i="4"/>
  <c r="U123" i="4" s="1"/>
  <c r="V56" i="4"/>
  <c r="M10" i="12"/>
  <c r="N3" i="12"/>
  <c r="AB43" i="22"/>
  <c r="P43" i="22"/>
  <c r="S43" i="22" s="1"/>
  <c r="AB62" i="22"/>
  <c r="P62" i="22"/>
  <c r="S62" i="22" s="1"/>
  <c r="AC64" i="22"/>
  <c r="Q64" i="22"/>
  <c r="T64" i="22" s="1"/>
  <c r="AC33" i="22"/>
  <c r="Q33" i="22"/>
  <c r="T33" i="22" s="1"/>
  <c r="AB57" i="22"/>
  <c r="P57" i="22"/>
  <c r="S57" i="22" s="1"/>
  <c r="AB89" i="22"/>
  <c r="P89" i="22"/>
  <c r="S89" i="22" s="1"/>
  <c r="AC26" i="22"/>
  <c r="Q26" i="22"/>
  <c r="T26" i="22" s="1"/>
  <c r="AC58" i="22"/>
  <c r="Q58" i="22"/>
  <c r="T58" i="22" s="1"/>
  <c r="AC90" i="22"/>
  <c r="Q90" i="22"/>
  <c r="T90" i="22" s="1"/>
  <c r="AC27" i="22"/>
  <c r="Q27" i="22"/>
  <c r="T27" i="22" s="1"/>
  <c r="AC59" i="22"/>
  <c r="P59" i="22"/>
  <c r="S59" i="22" s="1"/>
  <c r="AC91" i="22"/>
  <c r="Q91" i="22"/>
  <c r="T91" i="22" s="1"/>
  <c r="AB64" i="22"/>
  <c r="P64" i="22"/>
  <c r="S64" i="22" s="1"/>
  <c r="P18" i="19"/>
  <c r="S18" i="19" s="1"/>
  <c r="Y18" i="19"/>
  <c r="P66" i="19"/>
  <c r="S66" i="19" s="1"/>
  <c r="Y66" i="19"/>
  <c r="P50" i="19"/>
  <c r="S50" i="19" s="1"/>
  <c r="Y50" i="19"/>
  <c r="P69" i="19"/>
  <c r="S69" i="19" s="1"/>
  <c r="Y69" i="19"/>
  <c r="Q42" i="19"/>
  <c r="T42" i="19" s="1"/>
  <c r="Z42" i="19"/>
  <c r="P61" i="19"/>
  <c r="S61" i="19" s="1"/>
  <c r="Y61" i="19"/>
  <c r="P54" i="19"/>
  <c r="S54" i="19" s="1"/>
  <c r="Y54" i="19"/>
  <c r="Q22" i="19"/>
  <c r="T22" i="19" s="1"/>
  <c r="Z22" i="19"/>
  <c r="Q86" i="19"/>
  <c r="T86" i="19" s="1"/>
  <c r="Z86" i="19"/>
  <c r="P57" i="19"/>
  <c r="S57" i="19" s="1"/>
  <c r="Y57" i="19"/>
  <c r="Q25" i="19"/>
  <c r="T25" i="19" s="1"/>
  <c r="Z25" i="19"/>
  <c r="Q89" i="19"/>
  <c r="T89" i="19" s="1"/>
  <c r="Z89" i="19"/>
  <c r="P35" i="19"/>
  <c r="S35" i="19" s="1"/>
  <c r="Y35" i="19"/>
  <c r="P67" i="19"/>
  <c r="S67" i="19" s="1"/>
  <c r="Y67" i="19"/>
  <c r="Q31" i="19"/>
  <c r="T31" i="19" s="1"/>
  <c r="Z31" i="19"/>
  <c r="Q63" i="19"/>
  <c r="T63" i="19" s="1"/>
  <c r="Z63" i="19"/>
  <c r="Q95" i="19"/>
  <c r="T95" i="19" s="1"/>
  <c r="Z95" i="19"/>
  <c r="P32" i="19"/>
  <c r="S32" i="19" s="1"/>
  <c r="Y32" i="19"/>
  <c r="P64" i="19"/>
  <c r="S64" i="19" s="1"/>
  <c r="Y64" i="19"/>
  <c r="Q32" i="19"/>
  <c r="T32" i="19" s="1"/>
  <c r="Z32" i="19"/>
  <c r="Q64" i="19"/>
  <c r="T64" i="19" s="1"/>
  <c r="Z64" i="19"/>
  <c r="P58" i="4"/>
  <c r="P44" i="4"/>
  <c r="Q17" i="4"/>
  <c r="O126" i="4"/>
  <c r="O137" i="4"/>
  <c r="P57" i="4"/>
  <c r="P40" i="4"/>
  <c r="Q16" i="4"/>
  <c r="P100" i="3"/>
  <c r="AC92" i="22"/>
  <c r="Q92" i="22"/>
  <c r="T92" i="22" s="1"/>
  <c r="AC76" i="22"/>
  <c r="Q76" i="22"/>
  <c r="T76" i="22" s="1"/>
  <c r="AC40" i="22"/>
  <c r="Q40" i="22"/>
  <c r="T40" i="22" s="1"/>
  <c r="AC78" i="22"/>
  <c r="Q78" i="22"/>
  <c r="T78" i="22" s="1"/>
  <c r="AC79" i="22"/>
  <c r="Q79" i="22"/>
  <c r="T79" i="22" s="1"/>
  <c r="AB84" i="22"/>
  <c r="P84" i="22"/>
  <c r="S84" i="22" s="1"/>
  <c r="P21" i="19"/>
  <c r="S21" i="19" s="1"/>
  <c r="Y21" i="19"/>
  <c r="P30" i="19"/>
  <c r="S30" i="19" s="1"/>
  <c r="Y30" i="19"/>
  <c r="Q65" i="19"/>
  <c r="T65" i="19" s="1"/>
  <c r="Z65" i="19"/>
  <c r="P52" i="19"/>
  <c r="S52" i="19" s="1"/>
  <c r="Y52" i="19"/>
  <c r="Q84" i="19"/>
  <c r="T84" i="19" s="1"/>
  <c r="Z84" i="19"/>
  <c r="P25" i="4"/>
  <c r="P72" i="4" s="1"/>
  <c r="O133" i="3"/>
  <c r="S78" i="4"/>
  <c r="R108" i="4"/>
  <c r="R128" i="4" s="1"/>
  <c r="P34" i="4"/>
  <c r="P87" i="4" s="1"/>
  <c r="O166" i="3"/>
  <c r="AB70" i="22"/>
  <c r="P70" i="22"/>
  <c r="S70" i="22" s="1"/>
  <c r="AC72" i="22"/>
  <c r="Q72" i="22"/>
  <c r="T72" i="22" s="1"/>
  <c r="AC41" i="22"/>
  <c r="Q41" i="22"/>
  <c r="T41" i="22" s="1"/>
  <c r="AB29" i="22"/>
  <c r="P29" i="22"/>
  <c r="S29" i="22" s="1"/>
  <c r="AB61" i="22"/>
  <c r="P61" i="22"/>
  <c r="S61" i="22" s="1"/>
  <c r="AB93" i="22"/>
  <c r="P93" i="22"/>
  <c r="S93" i="22" s="1"/>
  <c r="AC30" i="22"/>
  <c r="Q30" i="22"/>
  <c r="T30" i="22" s="1"/>
  <c r="AC62" i="22"/>
  <c r="Q62" i="22"/>
  <c r="T62" i="22" s="1"/>
  <c r="AC94" i="22"/>
  <c r="P94" i="22"/>
  <c r="S94" i="22" s="1"/>
  <c r="AC31" i="22"/>
  <c r="P31" i="22"/>
  <c r="S31" i="22" s="1"/>
  <c r="AC63" i="22"/>
  <c r="Q63" i="22"/>
  <c r="T63" i="22" s="1"/>
  <c r="AC95" i="22"/>
  <c r="P95" i="22"/>
  <c r="S95" i="22" s="1"/>
  <c r="AB36" i="22"/>
  <c r="P36" i="22"/>
  <c r="S36" i="22" s="1"/>
  <c r="AB68" i="22"/>
  <c r="P68" i="22"/>
  <c r="S68" i="22" s="1"/>
  <c r="P34" i="19"/>
  <c r="S34" i="19" s="1"/>
  <c r="Y34" i="19"/>
  <c r="Q93" i="19"/>
  <c r="T93" i="19" s="1"/>
  <c r="Z93" i="19"/>
  <c r="P85" i="19"/>
  <c r="S85" i="19" s="1"/>
  <c r="Y85" i="19"/>
  <c r="P26" i="19"/>
  <c r="S26" i="19" s="1"/>
  <c r="Y26" i="19"/>
  <c r="Q58" i="19"/>
  <c r="T58" i="19" s="1"/>
  <c r="Z58" i="19"/>
  <c r="P77" i="19"/>
  <c r="S77" i="19" s="1"/>
  <c r="Y77" i="19"/>
  <c r="P62" i="19"/>
  <c r="S62" i="19" s="1"/>
  <c r="Y62" i="19"/>
  <c r="Q30" i="19"/>
  <c r="T30" i="19" s="1"/>
  <c r="Z30" i="19"/>
  <c r="Q94" i="19"/>
  <c r="T94" i="19" s="1"/>
  <c r="Z94" i="19"/>
  <c r="P65" i="19"/>
  <c r="S65" i="19" s="1"/>
  <c r="Y65" i="19"/>
  <c r="Q33" i="19"/>
  <c r="T33" i="19" s="1"/>
  <c r="Z33" i="19"/>
  <c r="P39" i="19"/>
  <c r="S39" i="19" s="1"/>
  <c r="Y39" i="19"/>
  <c r="P71" i="19"/>
  <c r="S71" i="19" s="1"/>
  <c r="Y71" i="19"/>
  <c r="Q35" i="19"/>
  <c r="T35" i="19" s="1"/>
  <c r="Z35" i="19"/>
  <c r="Q67" i="19"/>
  <c r="T67" i="19" s="1"/>
  <c r="Z67" i="19"/>
  <c r="P36" i="19"/>
  <c r="S36" i="19" s="1"/>
  <c r="Y36" i="19"/>
  <c r="P68" i="19"/>
  <c r="S68" i="19" s="1"/>
  <c r="Y68" i="19"/>
  <c r="Q36" i="19"/>
  <c r="T36" i="19" s="1"/>
  <c r="Z36" i="19"/>
  <c r="Q68" i="19"/>
  <c r="T68" i="19" s="1"/>
  <c r="Z68" i="19"/>
  <c r="O43" i="4"/>
  <c r="W63" i="4"/>
  <c r="S85" i="4"/>
  <c r="R100" i="4"/>
  <c r="R136" i="4" s="1"/>
  <c r="W55" i="4"/>
  <c r="N132" i="4"/>
  <c r="AC68" i="22"/>
  <c r="Q68" i="22"/>
  <c r="T68" i="22" s="1"/>
  <c r="AB55" i="22"/>
  <c r="P55" i="22"/>
  <c r="S55" i="22" s="1"/>
  <c r="AB90" i="22"/>
  <c r="P90" i="22"/>
  <c r="S90" i="22" s="1"/>
  <c r="AB69" i="22"/>
  <c r="P69" i="22"/>
  <c r="S69" i="22" s="1"/>
  <c r="AC70" i="22"/>
  <c r="Q70" i="22"/>
  <c r="T70" i="22" s="1"/>
  <c r="AB44" i="22"/>
  <c r="P44" i="22"/>
  <c r="S44" i="22" s="1"/>
  <c r="Q45" i="19"/>
  <c r="T45" i="19" s="1"/>
  <c r="Z45" i="19"/>
  <c r="P58" i="19"/>
  <c r="S58" i="19" s="1"/>
  <c r="Y58" i="19"/>
  <c r="P14" i="19"/>
  <c r="S14" i="19" s="1"/>
  <c r="Y14" i="19"/>
  <c r="Q43" i="19"/>
  <c r="T43" i="19" s="1"/>
  <c r="Z43" i="19"/>
  <c r="AC69" i="22"/>
  <c r="Q69" i="22"/>
  <c r="T69" i="22" s="1"/>
  <c r="AB63" i="22"/>
  <c r="P63" i="22"/>
  <c r="S63" i="22" s="1"/>
  <c r="AC75" i="22"/>
  <c r="Q75" i="22"/>
  <c r="T75" i="22" s="1"/>
  <c r="Q61" i="19"/>
  <c r="T61" i="19" s="1"/>
  <c r="Z61" i="19"/>
  <c r="P25" i="19"/>
  <c r="S25" i="19" s="1"/>
  <c r="Y25" i="19"/>
  <c r="P51" i="19"/>
  <c r="S51" i="19" s="1"/>
  <c r="Y51" i="19"/>
  <c r="Q15" i="19"/>
  <c r="T15" i="19" s="1"/>
  <c r="Z15" i="19"/>
  <c r="Q79" i="19"/>
  <c r="T79" i="19" s="1"/>
  <c r="Z79" i="19"/>
  <c r="P48" i="19"/>
  <c r="S48" i="19" s="1"/>
  <c r="Y48" i="19"/>
  <c r="P80" i="19"/>
  <c r="S80" i="19" s="1"/>
  <c r="Y80" i="19"/>
  <c r="Q50" i="4"/>
  <c r="P140" i="3"/>
  <c r="P156" i="3" s="1"/>
  <c r="Q31" i="4" s="1"/>
  <c r="P137" i="3"/>
  <c r="P153" i="3" s="1"/>
  <c r="Q28" i="4" s="1"/>
  <c r="P146" i="3"/>
  <c r="P162" i="3" s="1"/>
  <c r="P144" i="3"/>
  <c r="P160" i="3" s="1"/>
  <c r="Q33" i="4" s="1"/>
  <c r="P142" i="3"/>
  <c r="P158" i="3" s="1"/>
  <c r="P139" i="3"/>
  <c r="P155" i="3" s="1"/>
  <c r="Q30" i="4" s="1"/>
  <c r="P150" i="3"/>
  <c r="P138" i="3"/>
  <c r="P154" i="3" s="1"/>
  <c r="Q29" i="4" s="1"/>
  <c r="P148" i="3"/>
  <c r="P164" i="3" s="1"/>
  <c r="Q36" i="4" s="1"/>
  <c r="P149" i="3"/>
  <c r="P165" i="3" s="1"/>
  <c r="P147" i="3"/>
  <c r="P163" i="3" s="1"/>
  <c r="Q35" i="4" s="1"/>
  <c r="P145" i="3"/>
  <c r="P161" i="3" s="1"/>
  <c r="P141" i="3"/>
  <c r="P157" i="3" s="1"/>
  <c r="P143" i="3"/>
  <c r="P159" i="3" s="1"/>
  <c r="Q32" i="4" s="1"/>
  <c r="AB71" i="22"/>
  <c r="P71" i="22"/>
  <c r="S71" i="22" s="1"/>
  <c r="AB42" i="22"/>
  <c r="P42" i="22"/>
  <c r="S42" i="22" s="1"/>
  <c r="AB77" i="22"/>
  <c r="P77" i="22"/>
  <c r="S77" i="22" s="1"/>
  <c r="AC47" i="22"/>
  <c r="Q47" i="22"/>
  <c r="T47" i="22" s="1"/>
  <c r="AB20" i="22"/>
  <c r="P20" i="22"/>
  <c r="S20" i="22" s="1"/>
  <c r="Q66" i="19"/>
  <c r="T66" i="19" s="1"/>
  <c r="Z66" i="19"/>
  <c r="Q53" i="19"/>
  <c r="T53" i="19" s="1"/>
  <c r="Z53" i="19"/>
  <c r="P23" i="19"/>
  <c r="S23" i="19" s="1"/>
  <c r="Y23" i="19"/>
  <c r="Q83" i="19"/>
  <c r="T83" i="19" s="1"/>
  <c r="Z83" i="19"/>
  <c r="Q103" i="3"/>
  <c r="R5" i="4"/>
  <c r="S17" i="2"/>
  <c r="S4" i="4"/>
  <c r="R70" i="3"/>
  <c r="T16" i="2"/>
  <c r="P69" i="4"/>
  <c r="M9" i="12"/>
  <c r="N2" i="12"/>
  <c r="N4" i="12"/>
  <c r="M11" i="12"/>
  <c r="AC44" i="22"/>
  <c r="Q44" i="22"/>
  <c r="T44" i="22" s="1"/>
  <c r="AC45" i="22"/>
  <c r="P45" i="22"/>
  <c r="S45" i="22" s="1"/>
  <c r="AC20" i="22"/>
  <c r="Q20" i="22"/>
  <c r="T20" i="22" s="1"/>
  <c r="AC28" i="22"/>
  <c r="Q28" i="22"/>
  <c r="T28" i="22" s="1"/>
  <c r="AC29" i="22"/>
  <c r="Q29" i="22"/>
  <c r="T29" i="22" s="1"/>
  <c r="AC12" i="22"/>
  <c r="Q12" i="22"/>
  <c r="T12" i="22" s="1"/>
  <c r="AB14" i="22"/>
  <c r="P14" i="22"/>
  <c r="S14" i="22" s="1"/>
  <c r="AB78" i="22"/>
  <c r="P78" i="22"/>
  <c r="S78" i="22" s="1"/>
  <c r="AB47" i="22"/>
  <c r="P47" i="22"/>
  <c r="S47" i="22" s="1"/>
  <c r="AC16" i="22"/>
  <c r="Q16" i="22"/>
  <c r="T16" i="22" s="1"/>
  <c r="AC80" i="22"/>
  <c r="P80" i="22"/>
  <c r="S80" i="22" s="1"/>
  <c r="AC49" i="22"/>
  <c r="Q49" i="22"/>
  <c r="T49" i="22" s="1"/>
  <c r="AB82" i="22"/>
  <c r="P82" i="22"/>
  <c r="S82" i="22" s="1"/>
  <c r="AB33" i="22"/>
  <c r="P33" i="22"/>
  <c r="S33" i="22" s="1"/>
  <c r="AB65" i="22"/>
  <c r="P65" i="22"/>
  <c r="S65" i="22" s="1"/>
  <c r="AC34" i="22"/>
  <c r="Q34" i="22"/>
  <c r="T34" i="22" s="1"/>
  <c r="AC66" i="22"/>
  <c r="P66" i="22"/>
  <c r="S66" i="22" s="1"/>
  <c r="AC35" i="22"/>
  <c r="Q35" i="22"/>
  <c r="T35" i="22" s="1"/>
  <c r="AC67" i="22"/>
  <c r="P67" i="22"/>
  <c r="S67" i="22" s="1"/>
  <c r="AB40" i="22"/>
  <c r="P40" i="22"/>
  <c r="S40" i="22" s="1"/>
  <c r="AB72" i="22"/>
  <c r="P72" i="22"/>
  <c r="S72" i="22" s="1"/>
  <c r="O38" i="3"/>
  <c r="O54" i="3" s="1"/>
  <c r="O50" i="3"/>
  <c r="O66" i="3" s="1"/>
  <c r="O43" i="3"/>
  <c r="O59" i="3" s="1"/>
  <c r="O40" i="3"/>
  <c r="O56" i="3" s="1"/>
  <c r="O46" i="3"/>
  <c r="O62" i="3" s="1"/>
  <c r="O39" i="3"/>
  <c r="O55" i="3" s="1"/>
  <c r="O51" i="3"/>
  <c r="O67" i="3" s="1"/>
  <c r="O49" i="3"/>
  <c r="O65" i="3" s="1"/>
  <c r="O47" i="3"/>
  <c r="O63" i="3" s="1"/>
  <c r="O48" i="3"/>
  <c r="O64" i="3" s="1"/>
  <c r="O41" i="3"/>
  <c r="O57" i="3" s="1"/>
  <c r="O45" i="3"/>
  <c r="O61" i="3" s="1"/>
  <c r="O44" i="3"/>
  <c r="O60" i="3" s="1"/>
  <c r="O42" i="3"/>
  <c r="O58" i="3" s="1"/>
  <c r="Q50" i="19"/>
  <c r="T50" i="19" s="1"/>
  <c r="Z50" i="19"/>
  <c r="Q77" i="19"/>
  <c r="T77" i="19" s="1"/>
  <c r="Z77" i="19"/>
  <c r="P42" i="19"/>
  <c r="S42" i="19" s="1"/>
  <c r="Y42" i="19"/>
  <c r="Q74" i="19"/>
  <c r="T74" i="19" s="1"/>
  <c r="Z74" i="19"/>
  <c r="P93" i="19"/>
  <c r="S93" i="19" s="1"/>
  <c r="Y93" i="19"/>
  <c r="P70" i="19"/>
  <c r="S70" i="19" s="1"/>
  <c r="Y70" i="19"/>
  <c r="Q38" i="19"/>
  <c r="T38" i="19" s="1"/>
  <c r="Z38" i="19"/>
  <c r="P73" i="19"/>
  <c r="S73" i="19" s="1"/>
  <c r="Y73" i="19"/>
  <c r="Q41" i="19"/>
  <c r="T41" i="19" s="1"/>
  <c r="Z41" i="19"/>
  <c r="P43" i="19"/>
  <c r="S43" i="19" s="1"/>
  <c r="Y43" i="19"/>
  <c r="P75" i="19"/>
  <c r="S75" i="19" s="1"/>
  <c r="Y75" i="19"/>
  <c r="Q39" i="19"/>
  <c r="T39" i="19" s="1"/>
  <c r="Z39" i="19"/>
  <c r="Q71" i="19"/>
  <c r="T71" i="19" s="1"/>
  <c r="Z71" i="19"/>
  <c r="P40" i="19"/>
  <c r="S40" i="19" s="1"/>
  <c r="Y40" i="19"/>
  <c r="P72" i="19"/>
  <c r="S72" i="19" s="1"/>
  <c r="Y72" i="19"/>
  <c r="Q40" i="19"/>
  <c r="T40" i="19" s="1"/>
  <c r="Z40" i="19"/>
  <c r="Q72" i="19"/>
  <c r="T72" i="19" s="1"/>
  <c r="Z72" i="19"/>
  <c r="O102" i="4"/>
  <c r="O103" i="4"/>
  <c r="O134" i="4" s="1"/>
  <c r="P45" i="4"/>
  <c r="P45" i="3" l="1"/>
  <c r="P38" i="3"/>
  <c r="P95" i="4"/>
  <c r="I17" i="23"/>
  <c r="J17" i="23"/>
  <c r="J19" i="23" s="1"/>
  <c r="J24" i="23" s="1"/>
  <c r="I18" i="23"/>
  <c r="I22" i="23" s="1"/>
  <c r="O122" i="4"/>
  <c r="Q19" i="3"/>
  <c r="Q50" i="3" s="1"/>
  <c r="R20" i="2"/>
  <c r="P103" i="4"/>
  <c r="P134" i="4" s="1"/>
  <c r="P97" i="4"/>
  <c r="O121" i="4"/>
  <c r="P44" i="3"/>
  <c r="P60" i="3" s="1"/>
  <c r="P99" i="4"/>
  <c r="P48" i="3"/>
  <c r="P64" i="3" s="1"/>
  <c r="P50" i="3"/>
  <c r="P66" i="3" s="1"/>
  <c r="P39" i="3"/>
  <c r="P55" i="3" s="1"/>
  <c r="P40" i="3"/>
  <c r="P56" i="3" s="1"/>
  <c r="P47" i="3"/>
  <c r="P63" i="3" s="1"/>
  <c r="P43" i="3"/>
  <c r="P59" i="3" s="1"/>
  <c r="P51" i="3"/>
  <c r="P67" i="3" s="1"/>
  <c r="P46" i="3"/>
  <c r="P62" i="3" s="1"/>
  <c r="P49" i="3"/>
  <c r="P65" i="3" s="1"/>
  <c r="P41" i="3"/>
  <c r="P57" i="3" s="1"/>
  <c r="P94" i="4"/>
  <c r="Q126" i="4"/>
  <c r="Q137" i="4"/>
  <c r="S19" i="2"/>
  <c r="S7" i="4" s="1"/>
  <c r="O110" i="4"/>
  <c r="O115" i="4" s="1"/>
  <c r="O120" i="4"/>
  <c r="P98" i="4"/>
  <c r="P104" i="4"/>
  <c r="P135" i="4" s="1"/>
  <c r="O133" i="4"/>
  <c r="P96" i="4"/>
  <c r="R106" i="4"/>
  <c r="R137" i="4" s="1"/>
  <c r="Q64" i="4"/>
  <c r="Q37" i="4"/>
  <c r="Q79" i="4"/>
  <c r="Q82" i="4"/>
  <c r="Q80" i="4"/>
  <c r="Q83" i="4"/>
  <c r="Q81" i="4"/>
  <c r="Q39" i="4"/>
  <c r="Q67" i="4"/>
  <c r="Q40" i="4"/>
  <c r="Q74" i="4"/>
  <c r="Q45" i="4"/>
  <c r="R49" i="4"/>
  <c r="Q65" i="4"/>
  <c r="Q38" i="4"/>
  <c r="Q89" i="4"/>
  <c r="R59" i="4"/>
  <c r="Q84" i="4"/>
  <c r="Q88" i="4"/>
  <c r="Q68" i="4"/>
  <c r="Q41" i="4"/>
  <c r="Q73" i="4"/>
  <c r="R78" i="3"/>
  <c r="R94" i="3" s="1"/>
  <c r="S15" i="4" s="1"/>
  <c r="R76" i="3"/>
  <c r="R92" i="3" s="1"/>
  <c r="R74" i="3"/>
  <c r="R90" i="3" s="1"/>
  <c r="S13" i="4" s="1"/>
  <c r="R83" i="3"/>
  <c r="R99" i="3" s="1"/>
  <c r="R82" i="3"/>
  <c r="R98" i="3" s="1"/>
  <c r="S18" i="4" s="1"/>
  <c r="R72" i="3"/>
  <c r="R88" i="3" s="1"/>
  <c r="S11" i="4" s="1"/>
  <c r="R75" i="3"/>
  <c r="R91" i="3" s="1"/>
  <c r="R81" i="3"/>
  <c r="R97" i="3" s="1"/>
  <c r="R77" i="3"/>
  <c r="R93" i="3" s="1"/>
  <c r="S14" i="4" s="1"/>
  <c r="R84" i="3"/>
  <c r="R79" i="3"/>
  <c r="R95" i="3" s="1"/>
  <c r="R80" i="3"/>
  <c r="R96" i="3" s="1"/>
  <c r="R71" i="3"/>
  <c r="R87" i="3" s="1"/>
  <c r="S10" i="4" s="1"/>
  <c r="R73" i="3"/>
  <c r="R89" i="3" s="1"/>
  <c r="S12" i="4" s="1"/>
  <c r="O4" i="12"/>
  <c r="N11" i="12"/>
  <c r="T78" i="4"/>
  <c r="S108" i="4"/>
  <c r="S128" i="4" s="1"/>
  <c r="N9" i="12"/>
  <c r="O2" i="12"/>
  <c r="X63" i="4"/>
  <c r="Q58" i="4"/>
  <c r="Q44" i="4"/>
  <c r="R17" i="4"/>
  <c r="R54" i="4"/>
  <c r="Q69" i="4"/>
  <c r="S5" i="4"/>
  <c r="R103" i="3"/>
  <c r="T17" i="2"/>
  <c r="Q42" i="4"/>
  <c r="P54" i="3"/>
  <c r="U51" i="5"/>
  <c r="T55" i="5"/>
  <c r="P133" i="3"/>
  <c r="Q25" i="4"/>
  <c r="Q72" i="4" s="1"/>
  <c r="R52" i="4"/>
  <c r="Q100" i="3"/>
  <c r="R16" i="4"/>
  <c r="X55" i="4"/>
  <c r="V101" i="4"/>
  <c r="V123" i="4" s="1"/>
  <c r="W56" i="4"/>
  <c r="Q66" i="4"/>
  <c r="S6" i="4"/>
  <c r="R136" i="3"/>
  <c r="T18" i="2"/>
  <c r="J17" i="19"/>
  <c r="J18" i="19" s="1"/>
  <c r="J23" i="19" s="1"/>
  <c r="R53" i="4"/>
  <c r="O124" i="4"/>
  <c r="Q113" i="3"/>
  <c r="Q129" i="3" s="1"/>
  <c r="Q115" i="3"/>
  <c r="Q131" i="3" s="1"/>
  <c r="R27" i="4" s="1"/>
  <c r="Q110" i="3"/>
  <c r="Q126" i="3" s="1"/>
  <c r="R23" i="4" s="1"/>
  <c r="Q108" i="3"/>
  <c r="Q124" i="3" s="1"/>
  <c r="Q106" i="3"/>
  <c r="Q122" i="3" s="1"/>
  <c r="R21" i="4" s="1"/>
  <c r="Q111" i="3"/>
  <c r="Q127" i="3" s="1"/>
  <c r="R24" i="4" s="1"/>
  <c r="Q104" i="3"/>
  <c r="Q120" i="3" s="1"/>
  <c r="R19" i="4" s="1"/>
  <c r="Q117" i="3"/>
  <c r="Q109" i="3"/>
  <c r="Q125" i="3" s="1"/>
  <c r="Q114" i="3"/>
  <c r="Q130" i="3" s="1"/>
  <c r="R26" i="4" s="1"/>
  <c r="Q116" i="3"/>
  <c r="Q132" i="3" s="1"/>
  <c r="Q112" i="3"/>
  <c r="Q128" i="3" s="1"/>
  <c r="Q105" i="3"/>
  <c r="Q121" i="3" s="1"/>
  <c r="R20" i="4" s="1"/>
  <c r="Q107" i="3"/>
  <c r="Q123" i="3" s="1"/>
  <c r="R22" i="4" s="1"/>
  <c r="S70" i="3"/>
  <c r="T4" i="4"/>
  <c r="U16" i="2"/>
  <c r="P43" i="4"/>
  <c r="Q146" i="3"/>
  <c r="Q162" i="3" s="1"/>
  <c r="Q138" i="3"/>
  <c r="Q154" i="3" s="1"/>
  <c r="R29" i="4" s="1"/>
  <c r="Q139" i="3"/>
  <c r="Q155" i="3" s="1"/>
  <c r="R30" i="4" s="1"/>
  <c r="Q141" i="3"/>
  <c r="Q157" i="3" s="1"/>
  <c r="Q144" i="3"/>
  <c r="Q160" i="3" s="1"/>
  <c r="R33" i="4" s="1"/>
  <c r="Q137" i="3"/>
  <c r="Q153" i="3" s="1"/>
  <c r="R28" i="4" s="1"/>
  <c r="Q143" i="3"/>
  <c r="Q159" i="3" s="1"/>
  <c r="R32" i="4" s="1"/>
  <c r="Q147" i="3"/>
  <c r="Q163" i="3" s="1"/>
  <c r="R35" i="4" s="1"/>
  <c r="Q142" i="3"/>
  <c r="Q158" i="3" s="1"/>
  <c r="Q148" i="3"/>
  <c r="Q164" i="3" s="1"/>
  <c r="R36" i="4" s="1"/>
  <c r="Q150" i="3"/>
  <c r="Q149" i="3"/>
  <c r="Q165" i="3" s="1"/>
  <c r="Q140" i="3"/>
  <c r="Q156" i="3" s="1"/>
  <c r="R31" i="4" s="1"/>
  <c r="Q145" i="3"/>
  <c r="Q161" i="3" s="1"/>
  <c r="I17" i="22"/>
  <c r="I21" i="22" s="1"/>
  <c r="P102" i="4"/>
  <c r="R51" i="4"/>
  <c r="U62" i="4"/>
  <c r="T107" i="4"/>
  <c r="T127" i="4" s="1"/>
  <c r="Q34" i="4"/>
  <c r="Q87" i="4" s="1"/>
  <c r="P166" i="3"/>
  <c r="R50" i="4"/>
  <c r="T85" i="4"/>
  <c r="S100" i="4"/>
  <c r="S136" i="4" s="1"/>
  <c r="P58" i="3"/>
  <c r="O132" i="4"/>
  <c r="Q57" i="4"/>
  <c r="N10" i="12"/>
  <c r="O3" i="12"/>
  <c r="P61" i="3"/>
  <c r="P137" i="4"/>
  <c r="P126" i="4"/>
  <c r="I17" i="19"/>
  <c r="K17" i="23" l="1"/>
  <c r="P120" i="4"/>
  <c r="Q44" i="3"/>
  <c r="Q60" i="3" s="1"/>
  <c r="Q42" i="3"/>
  <c r="Q58" i="3" s="1"/>
  <c r="Q40" i="3"/>
  <c r="Q51" i="3"/>
  <c r="Q67" i="3" s="1"/>
  <c r="Q48" i="3"/>
  <c r="Q64" i="3" s="1"/>
  <c r="P133" i="4"/>
  <c r="Q45" i="3"/>
  <c r="Q61" i="3" s="1"/>
  <c r="Q46" i="3"/>
  <c r="Q62" i="3" s="1"/>
  <c r="Q41" i="3"/>
  <c r="Q57" i="3" s="1"/>
  <c r="Q38" i="3"/>
  <c r="Q54" i="3" s="1"/>
  <c r="Q43" i="3"/>
  <c r="Q59" i="3" s="1"/>
  <c r="Q47" i="3"/>
  <c r="Q63" i="3" s="1"/>
  <c r="Q39" i="3"/>
  <c r="Q55" i="3" s="1"/>
  <c r="Q49" i="3"/>
  <c r="Q65" i="3" s="1"/>
  <c r="P122" i="4"/>
  <c r="P121" i="4"/>
  <c r="Q66" i="3"/>
  <c r="S20" i="2"/>
  <c r="Q56" i="3"/>
  <c r="R19" i="3"/>
  <c r="R45" i="3" s="1"/>
  <c r="P124" i="4"/>
  <c r="Q99" i="4"/>
  <c r="P110" i="4"/>
  <c r="P115" i="4" s="1"/>
  <c r="Q102" i="4"/>
  <c r="R126" i="4"/>
  <c r="Q95" i="4"/>
  <c r="Q97" i="4"/>
  <c r="Q104" i="4"/>
  <c r="Q135" i="4" s="1"/>
  <c r="Q94" i="4"/>
  <c r="Q96" i="4"/>
  <c r="S106" i="4"/>
  <c r="S126" i="4" s="1"/>
  <c r="T19" i="2"/>
  <c r="T7" i="4" s="1"/>
  <c r="Q43" i="4"/>
  <c r="Q98" i="4"/>
  <c r="R39" i="4"/>
  <c r="R67" i="4"/>
  <c r="R40" i="4"/>
  <c r="S53" i="4"/>
  <c r="R64" i="4"/>
  <c r="R37" i="4"/>
  <c r="R80" i="4"/>
  <c r="R65" i="4"/>
  <c r="R38" i="4"/>
  <c r="R88" i="4"/>
  <c r="R68" i="4"/>
  <c r="R41" i="4"/>
  <c r="R83" i="4"/>
  <c r="R73" i="4"/>
  <c r="R74" i="4"/>
  <c r="R45" i="4"/>
  <c r="S54" i="4"/>
  <c r="R79" i="4"/>
  <c r="S59" i="4"/>
  <c r="R82" i="4"/>
  <c r="R84" i="4"/>
  <c r="S51" i="4"/>
  <c r="Q103" i="4"/>
  <c r="Q134" i="4" s="1"/>
  <c r="S17" i="4"/>
  <c r="R58" i="4"/>
  <c r="R44" i="4"/>
  <c r="R100" i="3"/>
  <c r="S16" i="4"/>
  <c r="S49" i="4"/>
  <c r="S52" i="4"/>
  <c r="U78" i="4"/>
  <c r="T108" i="4"/>
  <c r="T128" i="4" s="1"/>
  <c r="P132" i="4"/>
  <c r="U4" i="4"/>
  <c r="T70" i="3"/>
  <c r="V16" i="2"/>
  <c r="R66" i="4"/>
  <c r="R69" i="4"/>
  <c r="P4" i="12"/>
  <c r="O11" i="12"/>
  <c r="U85" i="4"/>
  <c r="T100" i="4"/>
  <c r="T136" i="4" s="1"/>
  <c r="R25" i="4"/>
  <c r="R72" i="4" s="1"/>
  <c r="Q133" i="3"/>
  <c r="S103" i="3"/>
  <c r="T5" i="4"/>
  <c r="U17" i="2"/>
  <c r="R81" i="4"/>
  <c r="Y63" i="4"/>
  <c r="R34" i="4"/>
  <c r="R87" i="4" s="1"/>
  <c r="Q166" i="3"/>
  <c r="S82" i="3"/>
  <c r="S98" i="3" s="1"/>
  <c r="T18" i="4" s="1"/>
  <c r="S84" i="3"/>
  <c r="S83" i="3"/>
  <c r="S99" i="3" s="1"/>
  <c r="S78" i="3"/>
  <c r="S94" i="3" s="1"/>
  <c r="T15" i="4" s="1"/>
  <c r="S80" i="3"/>
  <c r="S96" i="3" s="1"/>
  <c r="S72" i="3"/>
  <c r="S88" i="3" s="1"/>
  <c r="T11" i="4" s="1"/>
  <c r="S74" i="3"/>
  <c r="S90" i="3" s="1"/>
  <c r="T13" i="4" s="1"/>
  <c r="S79" i="3"/>
  <c r="S95" i="3" s="1"/>
  <c r="S76" i="3"/>
  <c r="S92" i="3" s="1"/>
  <c r="S75" i="3"/>
  <c r="S91" i="3" s="1"/>
  <c r="S71" i="3"/>
  <c r="S87" i="3" s="1"/>
  <c r="T10" i="4" s="1"/>
  <c r="S77" i="3"/>
  <c r="S93" i="3" s="1"/>
  <c r="T14" i="4" s="1"/>
  <c r="S81" i="3"/>
  <c r="S97" i="3" s="1"/>
  <c r="S73" i="3"/>
  <c r="S89" i="3" s="1"/>
  <c r="T12" i="4" s="1"/>
  <c r="T6" i="4"/>
  <c r="S136" i="3"/>
  <c r="U18" i="2"/>
  <c r="Y55" i="4"/>
  <c r="R42" i="4"/>
  <c r="V62" i="4"/>
  <c r="U107" i="4"/>
  <c r="U127" i="4" s="1"/>
  <c r="R143" i="3"/>
  <c r="R159" i="3" s="1"/>
  <c r="S32" i="4" s="1"/>
  <c r="R142" i="3"/>
  <c r="R158" i="3" s="1"/>
  <c r="R139" i="3"/>
  <c r="R155" i="3" s="1"/>
  <c r="S30" i="4" s="1"/>
  <c r="R146" i="3"/>
  <c r="R162" i="3" s="1"/>
  <c r="R147" i="3"/>
  <c r="R163" i="3" s="1"/>
  <c r="S35" i="4" s="1"/>
  <c r="R138" i="3"/>
  <c r="R154" i="3" s="1"/>
  <c r="S29" i="4" s="1"/>
  <c r="R150" i="3"/>
  <c r="R145" i="3"/>
  <c r="R161" i="3" s="1"/>
  <c r="R144" i="3"/>
  <c r="R160" i="3" s="1"/>
  <c r="S33" i="4" s="1"/>
  <c r="R140" i="3"/>
  <c r="R156" i="3" s="1"/>
  <c r="S31" i="4" s="1"/>
  <c r="R137" i="3"/>
  <c r="R153" i="3" s="1"/>
  <c r="S28" i="4" s="1"/>
  <c r="R148" i="3"/>
  <c r="R164" i="3" s="1"/>
  <c r="S36" i="4" s="1"/>
  <c r="R141" i="3"/>
  <c r="R157" i="3" s="1"/>
  <c r="R149" i="3"/>
  <c r="R165" i="3" s="1"/>
  <c r="R111" i="3"/>
  <c r="R127" i="3" s="1"/>
  <c r="S24" i="4" s="1"/>
  <c r="R116" i="3"/>
  <c r="R132" i="3" s="1"/>
  <c r="R114" i="3"/>
  <c r="R130" i="3" s="1"/>
  <c r="S26" i="4" s="1"/>
  <c r="R109" i="3"/>
  <c r="R125" i="3" s="1"/>
  <c r="R108" i="3"/>
  <c r="R124" i="3" s="1"/>
  <c r="R105" i="3"/>
  <c r="R121" i="3" s="1"/>
  <c r="S20" i="4" s="1"/>
  <c r="R107" i="3"/>
  <c r="R123" i="3" s="1"/>
  <c r="S22" i="4" s="1"/>
  <c r="R117" i="3"/>
  <c r="R112" i="3"/>
  <c r="R128" i="3" s="1"/>
  <c r="R104" i="3"/>
  <c r="R120" i="3" s="1"/>
  <c r="S19" i="4" s="1"/>
  <c r="R106" i="3"/>
  <c r="R122" i="3" s="1"/>
  <c r="S21" i="4" s="1"/>
  <c r="R113" i="3"/>
  <c r="R129" i="3" s="1"/>
  <c r="R115" i="3"/>
  <c r="R131" i="3" s="1"/>
  <c r="S27" i="4" s="1"/>
  <c r="R110" i="3"/>
  <c r="R126" i="3" s="1"/>
  <c r="S23" i="4" s="1"/>
  <c r="O9" i="12"/>
  <c r="P2" i="12"/>
  <c r="W101" i="4"/>
  <c r="W123" i="4" s="1"/>
  <c r="X56" i="4"/>
  <c r="R89" i="4"/>
  <c r="K17" i="19"/>
  <c r="O10" i="12"/>
  <c r="P3" i="12"/>
  <c r="S50" i="4"/>
  <c r="R57" i="4"/>
  <c r="V51" i="5"/>
  <c r="U55" i="5"/>
  <c r="R61" i="3" l="1"/>
  <c r="R41" i="3"/>
  <c r="R57" i="3" s="1"/>
  <c r="R42" i="3"/>
  <c r="R58" i="3" s="1"/>
  <c r="R39" i="3"/>
  <c r="R55" i="3" s="1"/>
  <c r="R50" i="3"/>
  <c r="R66" i="3" s="1"/>
  <c r="R47" i="3"/>
  <c r="R63" i="3" s="1"/>
  <c r="R51" i="3"/>
  <c r="R67" i="3" s="1"/>
  <c r="R38" i="3"/>
  <c r="R54" i="3" s="1"/>
  <c r="R40" i="3"/>
  <c r="R56" i="3" s="1"/>
  <c r="R48" i="3"/>
  <c r="R64" i="3" s="1"/>
  <c r="R49" i="3"/>
  <c r="R65" i="3" s="1"/>
  <c r="R43" i="3"/>
  <c r="R59" i="3" s="1"/>
  <c r="R44" i="3"/>
  <c r="R60" i="3" s="1"/>
  <c r="R46" i="3"/>
  <c r="R62" i="3" s="1"/>
  <c r="Q133" i="4"/>
  <c r="T20" i="2"/>
  <c r="S19" i="3"/>
  <c r="S44" i="3" s="1"/>
  <c r="R95" i="4"/>
  <c r="Q122" i="4"/>
  <c r="R104" i="4"/>
  <c r="R135" i="4" s="1"/>
  <c r="R96" i="4"/>
  <c r="Q120" i="4"/>
  <c r="Q110" i="4"/>
  <c r="Q115" i="4" s="1"/>
  <c r="Q121" i="4"/>
  <c r="Q132" i="4"/>
  <c r="R97" i="4"/>
  <c r="S137" i="4"/>
  <c r="R102" i="4"/>
  <c r="R98" i="4"/>
  <c r="R99" i="4"/>
  <c r="R94" i="4"/>
  <c r="S37" i="4"/>
  <c r="Q124" i="4"/>
  <c r="T49" i="4"/>
  <c r="T59" i="4"/>
  <c r="S81" i="4"/>
  <c r="S82" i="4"/>
  <c r="S66" i="4"/>
  <c r="S39" i="4"/>
  <c r="S83" i="4"/>
  <c r="S74" i="4"/>
  <c r="S45" i="4"/>
  <c r="T52" i="4"/>
  <c r="S80" i="4"/>
  <c r="T51" i="4"/>
  <c r="T50" i="4"/>
  <c r="S67" i="4"/>
  <c r="S40" i="4"/>
  <c r="S88" i="4"/>
  <c r="S68" i="4"/>
  <c r="S41" i="4"/>
  <c r="S65" i="4"/>
  <c r="S38" i="4"/>
  <c r="S89" i="4"/>
  <c r="Q4" i="12"/>
  <c r="P11" i="12"/>
  <c r="Z63" i="4"/>
  <c r="S69" i="4"/>
  <c r="S64" i="4"/>
  <c r="T53" i="4"/>
  <c r="Q3" i="12"/>
  <c r="P10" i="12"/>
  <c r="S79" i="4"/>
  <c r="S42" i="4"/>
  <c r="S84" i="4"/>
  <c r="T136" i="3"/>
  <c r="U6" i="4"/>
  <c r="V18" i="2"/>
  <c r="T16" i="4"/>
  <c r="S100" i="3"/>
  <c r="T103" i="3"/>
  <c r="U5" i="4"/>
  <c r="V17" i="2"/>
  <c r="V4" i="4"/>
  <c r="U70" i="3"/>
  <c r="W16" i="2"/>
  <c r="V78" i="4"/>
  <c r="U108" i="4"/>
  <c r="U128" i="4" s="1"/>
  <c r="R103" i="4"/>
  <c r="R134" i="4" s="1"/>
  <c r="S57" i="4"/>
  <c r="T106" i="4"/>
  <c r="W62" i="4"/>
  <c r="V107" i="4"/>
  <c r="V127" i="4" s="1"/>
  <c r="S138" i="3"/>
  <c r="S154" i="3" s="1"/>
  <c r="T29" i="4" s="1"/>
  <c r="S146" i="3"/>
  <c r="S162" i="3" s="1"/>
  <c r="S144" i="3"/>
  <c r="S160" i="3" s="1"/>
  <c r="T33" i="4" s="1"/>
  <c r="S147" i="3"/>
  <c r="S163" i="3" s="1"/>
  <c r="T35" i="4" s="1"/>
  <c r="S143" i="3"/>
  <c r="S159" i="3" s="1"/>
  <c r="T32" i="4" s="1"/>
  <c r="S142" i="3"/>
  <c r="S158" i="3" s="1"/>
  <c r="S140" i="3"/>
  <c r="S156" i="3" s="1"/>
  <c r="T31" i="4" s="1"/>
  <c r="S148" i="3"/>
  <c r="S164" i="3" s="1"/>
  <c r="T36" i="4" s="1"/>
  <c r="S149" i="3"/>
  <c r="S165" i="3" s="1"/>
  <c r="S139" i="3"/>
  <c r="S155" i="3" s="1"/>
  <c r="T30" i="4" s="1"/>
  <c r="S145" i="3"/>
  <c r="S161" i="3" s="1"/>
  <c r="S141" i="3"/>
  <c r="S157" i="3" s="1"/>
  <c r="S137" i="3"/>
  <c r="S153" i="3" s="1"/>
  <c r="T28" i="4" s="1"/>
  <c r="S150" i="3"/>
  <c r="V85" i="4"/>
  <c r="U100" i="4"/>
  <c r="U136" i="4" s="1"/>
  <c r="U19" i="2"/>
  <c r="S44" i="4"/>
  <c r="S58" i="4"/>
  <c r="T17" i="4"/>
  <c r="S73" i="4"/>
  <c r="T54" i="4"/>
  <c r="Z55" i="4"/>
  <c r="W51" i="5"/>
  <c r="V55" i="5"/>
  <c r="X101" i="4"/>
  <c r="X123" i="4" s="1"/>
  <c r="Y56" i="4"/>
  <c r="S34" i="4"/>
  <c r="S87" i="4" s="1"/>
  <c r="R166" i="3"/>
  <c r="R43" i="4"/>
  <c r="P9" i="12"/>
  <c r="Q2" i="12"/>
  <c r="R133" i="3"/>
  <c r="S25" i="4"/>
  <c r="S72" i="4" s="1"/>
  <c r="S112" i="3"/>
  <c r="S128" i="3" s="1"/>
  <c r="S115" i="3"/>
  <c r="S131" i="3" s="1"/>
  <c r="T27" i="4" s="1"/>
  <c r="S117" i="3"/>
  <c r="S106" i="3"/>
  <c r="S122" i="3" s="1"/>
  <c r="T21" i="4" s="1"/>
  <c r="S114" i="3"/>
  <c r="S130" i="3" s="1"/>
  <c r="T26" i="4" s="1"/>
  <c r="S107" i="3"/>
  <c r="S123" i="3" s="1"/>
  <c r="T22" i="4" s="1"/>
  <c r="S111" i="3"/>
  <c r="S127" i="3" s="1"/>
  <c r="T24" i="4" s="1"/>
  <c r="S110" i="3"/>
  <c r="S126" i="3" s="1"/>
  <c r="T23" i="4" s="1"/>
  <c r="S108" i="3"/>
  <c r="S124" i="3" s="1"/>
  <c r="S109" i="3"/>
  <c r="S125" i="3" s="1"/>
  <c r="S116" i="3"/>
  <c r="S132" i="3" s="1"/>
  <c r="S105" i="3"/>
  <c r="S121" i="3" s="1"/>
  <c r="T20" i="4" s="1"/>
  <c r="S104" i="3"/>
  <c r="S120" i="3" s="1"/>
  <c r="T19" i="4" s="1"/>
  <c r="S113" i="3"/>
  <c r="S129" i="3" s="1"/>
  <c r="T78" i="3"/>
  <c r="T94" i="3" s="1"/>
  <c r="U15" i="4" s="1"/>
  <c r="T76" i="3"/>
  <c r="T92" i="3" s="1"/>
  <c r="T83" i="3"/>
  <c r="T99" i="3" s="1"/>
  <c r="T77" i="3"/>
  <c r="T93" i="3" s="1"/>
  <c r="U14" i="4" s="1"/>
  <c r="T79" i="3"/>
  <c r="T95" i="3" s="1"/>
  <c r="T71" i="3"/>
  <c r="T87" i="3" s="1"/>
  <c r="U10" i="4" s="1"/>
  <c r="T72" i="3"/>
  <c r="T88" i="3" s="1"/>
  <c r="U11" i="4" s="1"/>
  <c r="T73" i="3"/>
  <c r="T89" i="3" s="1"/>
  <c r="U12" i="4" s="1"/>
  <c r="T75" i="3"/>
  <c r="T91" i="3" s="1"/>
  <c r="T81" i="3"/>
  <c r="T97" i="3" s="1"/>
  <c r="T80" i="3"/>
  <c r="T96" i="3" s="1"/>
  <c r="T84" i="3"/>
  <c r="T82" i="3"/>
  <c r="T98" i="3" s="1"/>
  <c r="U18" i="4" s="1"/>
  <c r="T74" i="3"/>
  <c r="T90" i="3" s="1"/>
  <c r="U13" i="4" s="1"/>
  <c r="S60" i="3" l="1"/>
  <c r="S95" i="4"/>
  <c r="S47" i="3"/>
  <c r="S63" i="3" s="1"/>
  <c r="S41" i="3"/>
  <c r="S57" i="3" s="1"/>
  <c r="S51" i="3"/>
  <c r="S67" i="3" s="1"/>
  <c r="S46" i="3"/>
  <c r="S62" i="3" s="1"/>
  <c r="S99" i="4"/>
  <c r="S38" i="3"/>
  <c r="S54" i="3" s="1"/>
  <c r="S48" i="3"/>
  <c r="S64" i="3" s="1"/>
  <c r="S40" i="3"/>
  <c r="S56" i="3" s="1"/>
  <c r="S42" i="3"/>
  <c r="S58" i="3" s="1"/>
  <c r="S50" i="3"/>
  <c r="S66" i="3" s="1"/>
  <c r="S45" i="3"/>
  <c r="S61" i="3" s="1"/>
  <c r="S43" i="3"/>
  <c r="S59" i="3" s="1"/>
  <c r="S39" i="3"/>
  <c r="S55" i="3" s="1"/>
  <c r="S49" i="3"/>
  <c r="S65" i="3" s="1"/>
  <c r="R121" i="4"/>
  <c r="S94" i="4"/>
  <c r="R133" i="4"/>
  <c r="R110" i="4"/>
  <c r="R115" i="4" s="1"/>
  <c r="S96" i="4"/>
  <c r="R122" i="4"/>
  <c r="R132" i="4"/>
  <c r="S97" i="4"/>
  <c r="V19" i="2"/>
  <c r="V7" i="4" s="1"/>
  <c r="R120" i="4"/>
  <c r="S104" i="4"/>
  <c r="S135" i="4" s="1"/>
  <c r="S98" i="4"/>
  <c r="R124" i="4"/>
  <c r="T67" i="4"/>
  <c r="T40" i="4"/>
  <c r="T69" i="4"/>
  <c r="T42" i="4"/>
  <c r="T82" i="4"/>
  <c r="U54" i="4"/>
  <c r="U51" i="4"/>
  <c r="T80" i="4"/>
  <c r="U49" i="4"/>
  <c r="T65" i="4"/>
  <c r="T38" i="4"/>
  <c r="T66" i="4"/>
  <c r="T39" i="4"/>
  <c r="U53" i="4"/>
  <c r="T74" i="4"/>
  <c r="T45" i="4"/>
  <c r="T83" i="4"/>
  <c r="T88" i="4"/>
  <c r="T68" i="4"/>
  <c r="T41" i="4"/>
  <c r="T84" i="4"/>
  <c r="Q11" i="12"/>
  <c r="R4" i="12"/>
  <c r="U52" i="4"/>
  <c r="W107" i="4"/>
  <c r="W127" i="4" s="1"/>
  <c r="X62" i="4"/>
  <c r="T81" i="4"/>
  <c r="T116" i="3"/>
  <c r="T132" i="3" s="1"/>
  <c r="T113" i="3"/>
  <c r="T129" i="3" s="1"/>
  <c r="T110" i="3"/>
  <c r="T126" i="3" s="1"/>
  <c r="U23" i="4" s="1"/>
  <c r="T107" i="3"/>
  <c r="T123" i="3" s="1"/>
  <c r="U22" i="4" s="1"/>
  <c r="T105" i="3"/>
  <c r="T121" i="3" s="1"/>
  <c r="U20" i="4" s="1"/>
  <c r="T106" i="3"/>
  <c r="T122" i="3" s="1"/>
  <c r="U21" i="4" s="1"/>
  <c r="T111" i="3"/>
  <c r="T127" i="3" s="1"/>
  <c r="U24" i="4" s="1"/>
  <c r="T114" i="3"/>
  <c r="T130" i="3" s="1"/>
  <c r="U26" i="4" s="1"/>
  <c r="T108" i="3"/>
  <c r="T124" i="3" s="1"/>
  <c r="T112" i="3"/>
  <c r="T128" i="3" s="1"/>
  <c r="T104" i="3"/>
  <c r="T120" i="3" s="1"/>
  <c r="U19" i="4" s="1"/>
  <c r="T117" i="3"/>
  <c r="T109" i="3"/>
  <c r="T125" i="3" s="1"/>
  <c r="T115" i="3"/>
  <c r="T131" i="3" s="1"/>
  <c r="U27" i="4" s="1"/>
  <c r="W4" i="4"/>
  <c r="X16" i="2"/>
  <c r="V70" i="3"/>
  <c r="T73" i="4"/>
  <c r="W85" i="4"/>
  <c r="V100" i="4"/>
  <c r="V136" i="4" s="1"/>
  <c r="T137" i="3"/>
  <c r="T153" i="3" s="1"/>
  <c r="U28" i="4" s="1"/>
  <c r="T148" i="3"/>
  <c r="T164" i="3" s="1"/>
  <c r="U36" i="4" s="1"/>
  <c r="T139" i="3"/>
  <c r="T155" i="3" s="1"/>
  <c r="U30" i="4" s="1"/>
  <c r="T144" i="3"/>
  <c r="T160" i="3" s="1"/>
  <c r="U33" i="4" s="1"/>
  <c r="T147" i="3"/>
  <c r="T163" i="3" s="1"/>
  <c r="U35" i="4" s="1"/>
  <c r="T150" i="3"/>
  <c r="T145" i="3"/>
  <c r="T161" i="3" s="1"/>
  <c r="T146" i="3"/>
  <c r="T162" i="3" s="1"/>
  <c r="T141" i="3"/>
  <c r="T157" i="3" s="1"/>
  <c r="T140" i="3"/>
  <c r="T156" i="3" s="1"/>
  <c r="U31" i="4" s="1"/>
  <c r="T149" i="3"/>
  <c r="T165" i="3" s="1"/>
  <c r="T142" i="3"/>
  <c r="T158" i="3" s="1"/>
  <c r="T138" i="3"/>
  <c r="T154" i="3" s="1"/>
  <c r="U29" i="4" s="1"/>
  <c r="T143" i="3"/>
  <c r="T159" i="3" s="1"/>
  <c r="U32" i="4" s="1"/>
  <c r="U50" i="4"/>
  <c r="S102" i="4"/>
  <c r="T89" i="4"/>
  <c r="W78" i="4"/>
  <c r="V108" i="4"/>
  <c r="V128" i="4" s="1"/>
  <c r="Q9" i="12"/>
  <c r="R2" i="12"/>
  <c r="AA55" i="4"/>
  <c r="S103" i="4"/>
  <c r="S134" i="4" s="1"/>
  <c r="T57" i="4"/>
  <c r="T126" i="4"/>
  <c r="T137" i="4"/>
  <c r="X51" i="5"/>
  <c r="W55" i="5"/>
  <c r="U59" i="4"/>
  <c r="T44" i="4"/>
  <c r="T58" i="4"/>
  <c r="U17" i="4"/>
  <c r="T25" i="4"/>
  <c r="T72" i="4" s="1"/>
  <c r="S133" i="3"/>
  <c r="U136" i="3"/>
  <c r="V6" i="4"/>
  <c r="W18" i="2"/>
  <c r="AA63" i="4"/>
  <c r="T64" i="4"/>
  <c r="U84" i="3"/>
  <c r="U82" i="3"/>
  <c r="U98" i="3" s="1"/>
  <c r="V18" i="4" s="1"/>
  <c r="U79" i="3"/>
  <c r="U95" i="3" s="1"/>
  <c r="U73" i="3"/>
  <c r="U89" i="3" s="1"/>
  <c r="V12" i="4" s="1"/>
  <c r="U72" i="3"/>
  <c r="U88" i="3" s="1"/>
  <c r="V11" i="4" s="1"/>
  <c r="U77" i="3"/>
  <c r="U93" i="3" s="1"/>
  <c r="V14" i="4" s="1"/>
  <c r="U83" i="3"/>
  <c r="U99" i="3" s="1"/>
  <c r="U81" i="3"/>
  <c r="U97" i="3" s="1"/>
  <c r="U75" i="3"/>
  <c r="U91" i="3" s="1"/>
  <c r="U76" i="3"/>
  <c r="U92" i="3" s="1"/>
  <c r="U74" i="3"/>
  <c r="U90" i="3" s="1"/>
  <c r="V13" i="4" s="1"/>
  <c r="U71" i="3"/>
  <c r="U87" i="3" s="1"/>
  <c r="V10" i="4" s="1"/>
  <c r="U80" i="3"/>
  <c r="U96" i="3" s="1"/>
  <c r="U78" i="3"/>
  <c r="U94" i="3" s="1"/>
  <c r="V15" i="4" s="1"/>
  <c r="Q10" i="12"/>
  <c r="R3" i="12"/>
  <c r="T37" i="4"/>
  <c r="T34" i="4"/>
  <c r="T87" i="4" s="1"/>
  <c r="S166" i="3"/>
  <c r="T79" i="4"/>
  <c r="S43" i="4"/>
  <c r="U16" i="4"/>
  <c r="T100" i="3"/>
  <c r="U7" i="4"/>
  <c r="U20" i="2"/>
  <c r="T19" i="3"/>
  <c r="Y101" i="4"/>
  <c r="Y123" i="4" s="1"/>
  <c r="Z56" i="4"/>
  <c r="V5" i="4"/>
  <c r="U103" i="3"/>
  <c r="W17" i="2"/>
  <c r="S120" i="4" l="1"/>
  <c r="S133" i="4"/>
  <c r="S122" i="4"/>
  <c r="T94" i="4"/>
  <c r="S110" i="4"/>
  <c r="S115" i="4" s="1"/>
  <c r="U19" i="3"/>
  <c r="U45" i="3" s="1"/>
  <c r="V20" i="2"/>
  <c r="S121" i="4"/>
  <c r="U106" i="4"/>
  <c r="U126" i="4" s="1"/>
  <c r="T96" i="4"/>
  <c r="T99" i="4"/>
  <c r="W19" i="2"/>
  <c r="W7" i="4" s="1"/>
  <c r="T95" i="4"/>
  <c r="T98" i="4"/>
  <c r="T104" i="4"/>
  <c r="T135" i="4" s="1"/>
  <c r="T97" i="4"/>
  <c r="T103" i="4"/>
  <c r="T134" i="4" s="1"/>
  <c r="S132" i="4"/>
  <c r="U81" i="4"/>
  <c r="V52" i="4"/>
  <c r="V54" i="4"/>
  <c r="V49" i="4"/>
  <c r="V53" i="4"/>
  <c r="U84" i="4"/>
  <c r="U73" i="4"/>
  <c r="U69" i="4"/>
  <c r="U42" i="4"/>
  <c r="V59" i="4"/>
  <c r="U79" i="4"/>
  <c r="U67" i="4"/>
  <c r="U40" i="4"/>
  <c r="U64" i="4"/>
  <c r="U37" i="4"/>
  <c r="U68" i="4"/>
  <c r="U41" i="4"/>
  <c r="U39" i="4"/>
  <c r="V78" i="3"/>
  <c r="V94" i="3" s="1"/>
  <c r="W15" i="4" s="1"/>
  <c r="V74" i="3"/>
  <c r="V90" i="3" s="1"/>
  <c r="W13" i="4" s="1"/>
  <c r="V71" i="3"/>
  <c r="V87" i="3" s="1"/>
  <c r="W10" i="4" s="1"/>
  <c r="V83" i="3"/>
  <c r="V99" i="3" s="1"/>
  <c r="V82" i="3"/>
  <c r="V98" i="3" s="1"/>
  <c r="W18" i="4" s="1"/>
  <c r="V81" i="3"/>
  <c r="V97" i="3" s="1"/>
  <c r="V79" i="3"/>
  <c r="V95" i="3" s="1"/>
  <c r="V77" i="3"/>
  <c r="V93" i="3" s="1"/>
  <c r="W14" i="4" s="1"/>
  <c r="V84" i="3"/>
  <c r="V76" i="3"/>
  <c r="V92" i="3" s="1"/>
  <c r="V75" i="3"/>
  <c r="V91" i="3" s="1"/>
  <c r="V80" i="3"/>
  <c r="V96" i="3" s="1"/>
  <c r="V73" i="3"/>
  <c r="V89" i="3" s="1"/>
  <c r="W12" i="4" s="1"/>
  <c r="V72" i="3"/>
  <c r="V88" i="3" s="1"/>
  <c r="W11" i="4" s="1"/>
  <c r="U83" i="4"/>
  <c r="U57" i="4"/>
  <c r="U82" i="4"/>
  <c r="Z101" i="4"/>
  <c r="Z123" i="4" s="1"/>
  <c r="AA56" i="4"/>
  <c r="U74" i="4"/>
  <c r="U65" i="4"/>
  <c r="U80" i="4"/>
  <c r="V16" i="4"/>
  <c r="U100" i="3"/>
  <c r="AB55" i="4"/>
  <c r="X55" i="5"/>
  <c r="Y51" i="5"/>
  <c r="V17" i="4"/>
  <c r="U44" i="4"/>
  <c r="U58" i="4"/>
  <c r="V50" i="4"/>
  <c r="R10" i="12"/>
  <c r="S3" i="12"/>
  <c r="U89" i="4"/>
  <c r="U143" i="3"/>
  <c r="U159" i="3" s="1"/>
  <c r="V32" i="4" s="1"/>
  <c r="U138" i="3"/>
  <c r="U154" i="3" s="1"/>
  <c r="V29" i="4" s="1"/>
  <c r="U148" i="3"/>
  <c r="U164" i="3" s="1"/>
  <c r="V36" i="4" s="1"/>
  <c r="U145" i="3"/>
  <c r="U161" i="3" s="1"/>
  <c r="U139" i="3"/>
  <c r="U155" i="3" s="1"/>
  <c r="V30" i="4" s="1"/>
  <c r="U142" i="3"/>
  <c r="U158" i="3" s="1"/>
  <c r="U140" i="3"/>
  <c r="U156" i="3" s="1"/>
  <c r="V31" i="4" s="1"/>
  <c r="U137" i="3"/>
  <c r="U153" i="3" s="1"/>
  <c r="V28" i="4" s="1"/>
  <c r="U147" i="3"/>
  <c r="U163" i="3" s="1"/>
  <c r="V35" i="4" s="1"/>
  <c r="U144" i="3"/>
  <c r="U160" i="3" s="1"/>
  <c r="V33" i="4" s="1"/>
  <c r="U149" i="3"/>
  <c r="U165" i="3" s="1"/>
  <c r="U141" i="3"/>
  <c r="U157" i="3" s="1"/>
  <c r="U150" i="3"/>
  <c r="U146" i="3"/>
  <c r="U162" i="3" s="1"/>
  <c r="W70" i="3"/>
  <c r="X4" i="4"/>
  <c r="Y16" i="2"/>
  <c r="R9" i="12"/>
  <c r="S2" i="12"/>
  <c r="S4" i="12"/>
  <c r="R11" i="12"/>
  <c r="X85" i="4"/>
  <c r="W100" i="4"/>
  <c r="W136" i="4" s="1"/>
  <c r="X107" i="4"/>
  <c r="X127" i="4" s="1"/>
  <c r="Y62" i="4"/>
  <c r="T102" i="4"/>
  <c r="U88" i="4"/>
  <c r="U66" i="4"/>
  <c r="S124" i="4"/>
  <c r="V51" i="4"/>
  <c r="T46" i="3"/>
  <c r="T62" i="3" s="1"/>
  <c r="T39" i="3"/>
  <c r="T55" i="3" s="1"/>
  <c r="T47" i="3"/>
  <c r="T63" i="3" s="1"/>
  <c r="T40" i="3"/>
  <c r="T56" i="3" s="1"/>
  <c r="T41" i="3"/>
  <c r="T57" i="3" s="1"/>
  <c r="T38" i="3"/>
  <c r="T54" i="3" s="1"/>
  <c r="T44" i="3"/>
  <c r="T60" i="3" s="1"/>
  <c r="T48" i="3"/>
  <c r="T64" i="3" s="1"/>
  <c r="T42" i="3"/>
  <c r="T58" i="3" s="1"/>
  <c r="T50" i="3"/>
  <c r="T66" i="3" s="1"/>
  <c r="T45" i="3"/>
  <c r="T61" i="3" s="1"/>
  <c r="T43" i="3"/>
  <c r="T59" i="3" s="1"/>
  <c r="T51" i="3"/>
  <c r="T67" i="3" s="1"/>
  <c r="T49" i="3"/>
  <c r="T65" i="3" s="1"/>
  <c r="AB63" i="4"/>
  <c r="U38" i="4"/>
  <c r="W5" i="4"/>
  <c r="V103" i="3"/>
  <c r="X17" i="2"/>
  <c r="X78" i="4"/>
  <c r="W108" i="4"/>
  <c r="W128" i="4" s="1"/>
  <c r="U34" i="4"/>
  <c r="U87" i="4" s="1"/>
  <c r="T166" i="3"/>
  <c r="U117" i="3"/>
  <c r="U114" i="3"/>
  <c r="U130" i="3" s="1"/>
  <c r="V26" i="4" s="1"/>
  <c r="U110" i="3"/>
  <c r="U126" i="3" s="1"/>
  <c r="V23" i="4" s="1"/>
  <c r="U112" i="3"/>
  <c r="U128" i="3" s="1"/>
  <c r="U105" i="3"/>
  <c r="U121" i="3" s="1"/>
  <c r="V20" i="4" s="1"/>
  <c r="U106" i="3"/>
  <c r="U122" i="3" s="1"/>
  <c r="V21" i="4" s="1"/>
  <c r="U107" i="3"/>
  <c r="U123" i="3" s="1"/>
  <c r="V22" i="4" s="1"/>
  <c r="U104" i="3"/>
  <c r="U120" i="3" s="1"/>
  <c r="V19" i="4" s="1"/>
  <c r="U116" i="3"/>
  <c r="U132" i="3" s="1"/>
  <c r="U108" i="3"/>
  <c r="U124" i="3" s="1"/>
  <c r="U109" i="3"/>
  <c r="U125" i="3" s="1"/>
  <c r="U111" i="3"/>
  <c r="U127" i="3" s="1"/>
  <c r="V24" i="4" s="1"/>
  <c r="U113" i="3"/>
  <c r="U129" i="3" s="1"/>
  <c r="U115" i="3"/>
  <c r="U131" i="3" s="1"/>
  <c r="V27" i="4" s="1"/>
  <c r="W6" i="4"/>
  <c r="V136" i="3"/>
  <c r="X18" i="2"/>
  <c r="U45" i="4"/>
  <c r="T43" i="4"/>
  <c r="U25" i="4"/>
  <c r="U72" i="4" s="1"/>
  <c r="T133" i="3"/>
  <c r="T120" i="4" l="1"/>
  <c r="U46" i="3"/>
  <c r="U49" i="3"/>
  <c r="U44" i="3"/>
  <c r="U60" i="3" s="1"/>
  <c r="U94" i="4"/>
  <c r="U48" i="3"/>
  <c r="U64" i="3" s="1"/>
  <c r="U43" i="3"/>
  <c r="U59" i="3" s="1"/>
  <c r="U40" i="3"/>
  <c r="U56" i="3" s="1"/>
  <c r="U38" i="3"/>
  <c r="U54" i="3" s="1"/>
  <c r="U41" i="3"/>
  <c r="U57" i="3" s="1"/>
  <c r="U50" i="3"/>
  <c r="U66" i="3" s="1"/>
  <c r="W20" i="2"/>
  <c r="V19" i="3"/>
  <c r="V39" i="3" s="1"/>
  <c r="T122" i="4"/>
  <c r="V106" i="4"/>
  <c r="U47" i="3"/>
  <c r="U63" i="3" s="1"/>
  <c r="X19" i="2"/>
  <c r="W19" i="3" s="1"/>
  <c r="U51" i="3"/>
  <c r="U67" i="3" s="1"/>
  <c r="U42" i="3"/>
  <c r="U58" i="3" s="1"/>
  <c r="U39" i="3"/>
  <c r="U55" i="3" s="1"/>
  <c r="U137" i="4"/>
  <c r="T121" i="4"/>
  <c r="U104" i="4"/>
  <c r="U135" i="4" s="1"/>
  <c r="U98" i="4"/>
  <c r="T110" i="4"/>
  <c r="T115" i="4" s="1"/>
  <c r="U103" i="4"/>
  <c r="U134" i="4" s="1"/>
  <c r="U95" i="4"/>
  <c r="V45" i="4"/>
  <c r="U97" i="4"/>
  <c r="U99" i="4"/>
  <c r="U96" i="4"/>
  <c r="W106" i="4"/>
  <c r="W137" i="4" s="1"/>
  <c r="U102" i="4"/>
  <c r="T133" i="4"/>
  <c r="U43" i="4"/>
  <c r="T124" i="4"/>
  <c r="V65" i="4"/>
  <c r="V38" i="4"/>
  <c r="V66" i="4"/>
  <c r="V39" i="4"/>
  <c r="W52" i="4"/>
  <c r="V89" i="4"/>
  <c r="V80" i="4"/>
  <c r="V83" i="4"/>
  <c r="V82" i="4"/>
  <c r="W49" i="4"/>
  <c r="V69" i="4"/>
  <c r="V42" i="4"/>
  <c r="V81" i="4"/>
  <c r="V68" i="4"/>
  <c r="V41" i="4"/>
  <c r="V73" i="4"/>
  <c r="W53" i="4"/>
  <c r="V84" i="4"/>
  <c r="V64" i="4"/>
  <c r="V37" i="4"/>
  <c r="V88" i="4"/>
  <c r="V67" i="4"/>
  <c r="V40" i="4"/>
  <c r="V79" i="4"/>
  <c r="W54" i="4"/>
  <c r="X70" i="3"/>
  <c r="Y4" i="4"/>
  <c r="Z16" i="2"/>
  <c r="X6" i="4"/>
  <c r="Y18" i="2"/>
  <c r="W136" i="3"/>
  <c r="V115" i="3"/>
  <c r="V131" i="3" s="1"/>
  <c r="W27" i="4" s="1"/>
  <c r="V106" i="3"/>
  <c r="V122" i="3" s="1"/>
  <c r="W21" i="4" s="1"/>
  <c r="V117" i="3"/>
  <c r="V109" i="3"/>
  <c r="V125" i="3" s="1"/>
  <c r="V110" i="3"/>
  <c r="V126" i="3" s="1"/>
  <c r="W23" i="4" s="1"/>
  <c r="V112" i="3"/>
  <c r="V128" i="3" s="1"/>
  <c r="V107" i="3"/>
  <c r="V123" i="3" s="1"/>
  <c r="W22" i="4" s="1"/>
  <c r="V108" i="3"/>
  <c r="V124" i="3" s="1"/>
  <c r="V105" i="3"/>
  <c r="V121" i="3" s="1"/>
  <c r="W20" i="4" s="1"/>
  <c r="V113" i="3"/>
  <c r="V129" i="3" s="1"/>
  <c r="V111" i="3"/>
  <c r="V127" i="3" s="1"/>
  <c r="W24" i="4" s="1"/>
  <c r="V114" i="3"/>
  <c r="V130" i="3" s="1"/>
  <c r="W26" i="4" s="1"/>
  <c r="V104" i="3"/>
  <c r="V120" i="3" s="1"/>
  <c r="W19" i="4" s="1"/>
  <c r="V116" i="3"/>
  <c r="V132" i="3" s="1"/>
  <c r="AA101" i="4"/>
  <c r="AA123" i="4" s="1"/>
  <c r="AB56" i="4"/>
  <c r="W16" i="4"/>
  <c r="V100" i="3"/>
  <c r="V126" i="4"/>
  <c r="V137" i="4"/>
  <c r="U61" i="3"/>
  <c r="T132" i="4"/>
  <c r="X5" i="4"/>
  <c r="W103" i="3"/>
  <c r="Y17" i="2"/>
  <c r="V25" i="4"/>
  <c r="V72" i="4" s="1"/>
  <c r="U133" i="3"/>
  <c r="Y85" i="4"/>
  <c r="X100" i="4"/>
  <c r="X136" i="4" s="1"/>
  <c r="W71" i="3"/>
  <c r="W87" i="3" s="1"/>
  <c r="X10" i="4" s="1"/>
  <c r="W72" i="3"/>
  <c r="W88" i="3" s="1"/>
  <c r="X11" i="4" s="1"/>
  <c r="W84" i="3"/>
  <c r="W79" i="3"/>
  <c r="W95" i="3" s="1"/>
  <c r="W76" i="3"/>
  <c r="W92" i="3" s="1"/>
  <c r="W73" i="3"/>
  <c r="W89" i="3" s="1"/>
  <c r="X12" i="4" s="1"/>
  <c r="W77" i="3"/>
  <c r="W93" i="3" s="1"/>
  <c r="X14" i="4" s="1"/>
  <c r="W74" i="3"/>
  <c r="W90" i="3" s="1"/>
  <c r="X13" i="4" s="1"/>
  <c r="W83" i="3"/>
  <c r="W99" i="3" s="1"/>
  <c r="W80" i="3"/>
  <c r="W96" i="3" s="1"/>
  <c r="W75" i="3"/>
  <c r="W91" i="3" s="1"/>
  <c r="W81" i="3"/>
  <c r="W97" i="3" s="1"/>
  <c r="W78" i="3"/>
  <c r="W94" i="3" s="1"/>
  <c r="X15" i="4" s="1"/>
  <c r="W82" i="3"/>
  <c r="W98" i="3" s="1"/>
  <c r="X18" i="4" s="1"/>
  <c r="Z51" i="5"/>
  <c r="Y55" i="5"/>
  <c r="V74" i="4"/>
  <c r="U62" i="3"/>
  <c r="W59" i="4"/>
  <c r="Y107" i="4"/>
  <c r="Y127" i="4" s="1"/>
  <c r="Z62" i="4"/>
  <c r="V57" i="4"/>
  <c r="V139" i="3"/>
  <c r="V155" i="3" s="1"/>
  <c r="W30" i="4" s="1"/>
  <c r="V144" i="3"/>
  <c r="V160" i="3" s="1"/>
  <c r="W33" i="4" s="1"/>
  <c r="V149" i="3"/>
  <c r="V165" i="3" s="1"/>
  <c r="V142" i="3"/>
  <c r="V158" i="3" s="1"/>
  <c r="V150" i="3"/>
  <c r="V145" i="3"/>
  <c r="V161" i="3" s="1"/>
  <c r="V140" i="3"/>
  <c r="V156" i="3" s="1"/>
  <c r="W31" i="4" s="1"/>
  <c r="V143" i="3"/>
  <c r="V159" i="3" s="1"/>
  <c r="W32" i="4" s="1"/>
  <c r="V148" i="3"/>
  <c r="V164" i="3" s="1"/>
  <c r="W36" i="4" s="1"/>
  <c r="V141" i="3"/>
  <c r="V157" i="3" s="1"/>
  <c r="V138" i="3"/>
  <c r="V154" i="3" s="1"/>
  <c r="W29" i="4" s="1"/>
  <c r="V146" i="3"/>
  <c r="V162" i="3" s="1"/>
  <c r="V137" i="3"/>
  <c r="V153" i="3" s="1"/>
  <c r="W28" i="4" s="1"/>
  <c r="V147" i="3"/>
  <c r="V163" i="3" s="1"/>
  <c r="W35" i="4" s="1"/>
  <c r="V44" i="4"/>
  <c r="V58" i="4"/>
  <c r="W17" i="4"/>
  <c r="W51" i="4"/>
  <c r="T4" i="12"/>
  <c r="S11" i="12"/>
  <c r="W50" i="4"/>
  <c r="AC55" i="4"/>
  <c r="U65" i="3"/>
  <c r="AC63" i="4"/>
  <c r="Y78" i="4"/>
  <c r="X108" i="4"/>
  <c r="X128" i="4" s="1"/>
  <c r="S9" i="12"/>
  <c r="T2" i="12"/>
  <c r="V34" i="4"/>
  <c r="V87" i="4" s="1"/>
  <c r="U166" i="3"/>
  <c r="S10" i="12"/>
  <c r="T3" i="12"/>
  <c r="U120" i="4" l="1"/>
  <c r="V48" i="3"/>
  <c r="V64" i="3" s="1"/>
  <c r="V51" i="3"/>
  <c r="V67" i="3" s="1"/>
  <c r="V41" i="3"/>
  <c r="V57" i="3" s="1"/>
  <c r="V55" i="3"/>
  <c r="V45" i="3"/>
  <c r="V61" i="3" s="1"/>
  <c r="V46" i="3"/>
  <c r="V62" i="3" s="1"/>
  <c r="V47" i="3"/>
  <c r="V63" i="3" s="1"/>
  <c r="V42" i="3"/>
  <c r="V58" i="3" s="1"/>
  <c r="V38" i="3"/>
  <c r="V54" i="3" s="1"/>
  <c r="V50" i="3"/>
  <c r="V66" i="3" s="1"/>
  <c r="V49" i="3"/>
  <c r="V65" i="3" s="1"/>
  <c r="V96" i="4"/>
  <c r="V43" i="3"/>
  <c r="V59" i="3" s="1"/>
  <c r="V40" i="3"/>
  <c r="V56" i="3" s="1"/>
  <c r="V44" i="3"/>
  <c r="V60" i="3" s="1"/>
  <c r="V95" i="4"/>
  <c r="X7" i="4"/>
  <c r="X20" i="2"/>
  <c r="U133" i="4"/>
  <c r="U124" i="4"/>
  <c r="V97" i="4"/>
  <c r="W126" i="4"/>
  <c r="V94" i="4"/>
  <c r="U132" i="4"/>
  <c r="U110" i="4"/>
  <c r="U115" i="4" s="1"/>
  <c r="V103" i="4"/>
  <c r="V134" i="4" s="1"/>
  <c r="U122" i="4"/>
  <c r="V98" i="4"/>
  <c r="U121" i="4"/>
  <c r="V99" i="4"/>
  <c r="V104" i="4"/>
  <c r="V135" i="4" s="1"/>
  <c r="X49" i="4"/>
  <c r="W79" i="4"/>
  <c r="W73" i="4"/>
  <c r="W69" i="4"/>
  <c r="W42" i="4"/>
  <c r="W65" i="4"/>
  <c r="W38" i="4"/>
  <c r="W64" i="4"/>
  <c r="W37" i="4"/>
  <c r="W80" i="4"/>
  <c r="W89" i="4"/>
  <c r="W81" i="4"/>
  <c r="W39" i="4"/>
  <c r="W74" i="4"/>
  <c r="W45" i="4"/>
  <c r="W83" i="4"/>
  <c r="W82" i="4"/>
  <c r="X59" i="4"/>
  <c r="X51" i="4"/>
  <c r="W88" i="4"/>
  <c r="X54" i="4"/>
  <c r="W68" i="4"/>
  <c r="W57" i="4"/>
  <c r="X79" i="3"/>
  <c r="X95" i="3" s="1"/>
  <c r="X76" i="3"/>
  <c r="X92" i="3" s="1"/>
  <c r="X72" i="3"/>
  <c r="X88" i="3" s="1"/>
  <c r="Y11" i="4" s="1"/>
  <c r="X83" i="3"/>
  <c r="X99" i="3" s="1"/>
  <c r="X81" i="3"/>
  <c r="X97" i="3" s="1"/>
  <c r="X75" i="3"/>
  <c r="X91" i="3" s="1"/>
  <c r="X71" i="3"/>
  <c r="X87" i="3" s="1"/>
  <c r="Y10" i="4" s="1"/>
  <c r="X78" i="3"/>
  <c r="X94" i="3" s="1"/>
  <c r="Y15" i="4" s="1"/>
  <c r="X73" i="3"/>
  <c r="X89" i="3" s="1"/>
  <c r="Y12" i="4" s="1"/>
  <c r="X77" i="3"/>
  <c r="X93" i="3" s="1"/>
  <c r="Y14" i="4" s="1"/>
  <c r="X74" i="3"/>
  <c r="X90" i="3" s="1"/>
  <c r="Y13" i="4" s="1"/>
  <c r="X84" i="3"/>
  <c r="X80" i="3"/>
  <c r="X96" i="3" s="1"/>
  <c r="X82" i="3"/>
  <c r="X98" i="3" s="1"/>
  <c r="Y18" i="4" s="1"/>
  <c r="X52" i="4"/>
  <c r="W58" i="4"/>
  <c r="X17" i="4"/>
  <c r="W44" i="4"/>
  <c r="Y6" i="4"/>
  <c r="X136" i="3"/>
  <c r="Z18" i="2"/>
  <c r="W41" i="4"/>
  <c r="Y5" i="4"/>
  <c r="X103" i="3"/>
  <c r="Z17" i="2"/>
  <c r="X53" i="4"/>
  <c r="X106" i="4"/>
  <c r="W66" i="4"/>
  <c r="W67" i="4"/>
  <c r="W116" i="3"/>
  <c r="W132" i="3" s="1"/>
  <c r="W115" i="3"/>
  <c r="W131" i="3" s="1"/>
  <c r="X27" i="4" s="1"/>
  <c r="W114" i="3"/>
  <c r="W130" i="3" s="1"/>
  <c r="X26" i="4" s="1"/>
  <c r="W105" i="3"/>
  <c r="W121" i="3" s="1"/>
  <c r="X20" i="4" s="1"/>
  <c r="W108" i="3"/>
  <c r="W124" i="3" s="1"/>
  <c r="W110" i="3"/>
  <c r="W126" i="3" s="1"/>
  <c r="X23" i="4" s="1"/>
  <c r="W107" i="3"/>
  <c r="W123" i="3" s="1"/>
  <c r="X22" i="4" s="1"/>
  <c r="W112" i="3"/>
  <c r="W128" i="3" s="1"/>
  <c r="W104" i="3"/>
  <c r="W120" i="3" s="1"/>
  <c r="X19" i="4" s="1"/>
  <c r="W106" i="3"/>
  <c r="W122" i="3" s="1"/>
  <c r="X21" i="4" s="1"/>
  <c r="W111" i="3"/>
  <c r="W127" i="3" s="1"/>
  <c r="X24" i="4" s="1"/>
  <c r="W113" i="3"/>
  <c r="W129" i="3" s="1"/>
  <c r="W109" i="3"/>
  <c r="W125" i="3" s="1"/>
  <c r="W117" i="3"/>
  <c r="W84" i="4"/>
  <c r="T10" i="12"/>
  <c r="U3" i="12"/>
  <c r="X50" i="4"/>
  <c r="AD63" i="4"/>
  <c r="V43" i="4"/>
  <c r="Z107" i="4"/>
  <c r="Z127" i="4" s="1"/>
  <c r="AA62" i="4"/>
  <c r="Z4" i="4"/>
  <c r="Y70" i="3"/>
  <c r="AA16" i="2"/>
  <c r="W50" i="3"/>
  <c r="W51" i="3"/>
  <c r="W46" i="3"/>
  <c r="W62" i="3" s="1"/>
  <c r="W41" i="3"/>
  <c r="W47" i="3"/>
  <c r="W42" i="3"/>
  <c r="W48" i="3"/>
  <c r="W64" i="3" s="1"/>
  <c r="W40" i="3"/>
  <c r="W43" i="3"/>
  <c r="W59" i="3" s="1"/>
  <c r="W44" i="3"/>
  <c r="W39" i="3"/>
  <c r="W55" i="3" s="1"/>
  <c r="W38" i="3"/>
  <c r="W49" i="3"/>
  <c r="W45" i="3"/>
  <c r="W140" i="3"/>
  <c r="W156" i="3" s="1"/>
  <c r="X31" i="4" s="1"/>
  <c r="W143" i="3"/>
  <c r="W159" i="3" s="1"/>
  <c r="X32" i="4" s="1"/>
  <c r="W142" i="3"/>
  <c r="W158" i="3" s="1"/>
  <c r="W141" i="3"/>
  <c r="W157" i="3" s="1"/>
  <c r="W139" i="3"/>
  <c r="W155" i="3" s="1"/>
  <c r="X30" i="4" s="1"/>
  <c r="W150" i="3"/>
  <c r="W148" i="3"/>
  <c r="W164" i="3" s="1"/>
  <c r="X36" i="4" s="1"/>
  <c r="W147" i="3"/>
  <c r="W163" i="3" s="1"/>
  <c r="X35" i="4" s="1"/>
  <c r="W138" i="3"/>
  <c r="W154" i="3" s="1"/>
  <c r="X29" i="4" s="1"/>
  <c r="W149" i="3"/>
  <c r="W165" i="3" s="1"/>
  <c r="W145" i="3"/>
  <c r="W161" i="3" s="1"/>
  <c r="W146" i="3"/>
  <c r="W162" i="3" s="1"/>
  <c r="W144" i="3"/>
  <c r="W160" i="3" s="1"/>
  <c r="X33" i="4" s="1"/>
  <c r="W137" i="3"/>
  <c r="W153" i="3" s="1"/>
  <c r="X28" i="4" s="1"/>
  <c r="Z78" i="4"/>
  <c r="Y108" i="4"/>
  <c r="Y128" i="4" s="1"/>
  <c r="W34" i="4"/>
  <c r="W87" i="4" s="1"/>
  <c r="V166" i="3"/>
  <c r="W25" i="4"/>
  <c r="W72" i="4" s="1"/>
  <c r="V133" i="3"/>
  <c r="Y19" i="2"/>
  <c r="AD55" i="4"/>
  <c r="AB101" i="4"/>
  <c r="AB123" i="4" s="1"/>
  <c r="AC56" i="4"/>
  <c r="V102" i="4"/>
  <c r="X16" i="4"/>
  <c r="W100" i="3"/>
  <c r="U4" i="12"/>
  <c r="T11" i="12"/>
  <c r="U2" i="12"/>
  <c r="T9" i="12"/>
  <c r="Z55" i="5"/>
  <c r="AA51" i="5"/>
  <c r="Z85" i="4"/>
  <c r="Y100" i="4"/>
  <c r="Y136" i="4" s="1"/>
  <c r="W40" i="4"/>
  <c r="W67" i="3" l="1"/>
  <c r="W54" i="3"/>
  <c r="V120" i="4"/>
  <c r="W57" i="3"/>
  <c r="W63" i="3"/>
  <c r="W56" i="3"/>
  <c r="W61" i="3"/>
  <c r="W58" i="3"/>
  <c r="V121" i="4"/>
  <c r="W66" i="3"/>
  <c r="W65" i="3"/>
  <c r="W60" i="3"/>
  <c r="W98" i="4"/>
  <c r="W104" i="4"/>
  <c r="W135" i="4" s="1"/>
  <c r="W96" i="4"/>
  <c r="V110" i="4"/>
  <c r="V115" i="4" s="1"/>
  <c r="W94" i="4"/>
  <c r="V122" i="4"/>
  <c r="W99" i="4"/>
  <c r="W97" i="4"/>
  <c r="W95" i="4"/>
  <c r="V124" i="4"/>
  <c r="X40" i="4"/>
  <c r="W43" i="4"/>
  <c r="V132" i="4"/>
  <c r="W102" i="4"/>
  <c r="V133" i="4"/>
  <c r="X80" i="4"/>
  <c r="X38" i="4"/>
  <c r="X88" i="4"/>
  <c r="X68" i="4"/>
  <c r="X41" i="4"/>
  <c r="Y49" i="4"/>
  <c r="Y51" i="4"/>
  <c r="X89" i="4"/>
  <c r="X79" i="4"/>
  <c r="X66" i="4"/>
  <c r="X39" i="4"/>
  <c r="X74" i="4"/>
  <c r="X45" i="4"/>
  <c r="X64" i="4"/>
  <c r="X37" i="4"/>
  <c r="X83" i="4"/>
  <c r="Y54" i="4"/>
  <c r="AE63" i="4"/>
  <c r="Y52" i="4"/>
  <c r="X73" i="4"/>
  <c r="Y53" i="4"/>
  <c r="Y59" i="4"/>
  <c r="X69" i="4"/>
  <c r="AA4" i="4"/>
  <c r="Z70" i="3"/>
  <c r="AB16" i="2"/>
  <c r="X57" i="4"/>
  <c r="X65" i="4"/>
  <c r="Z6" i="4"/>
  <c r="Y136" i="3"/>
  <c r="AA18" i="2"/>
  <c r="Y77" i="3"/>
  <c r="Y93" i="3" s="1"/>
  <c r="Z14" i="4" s="1"/>
  <c r="Y73" i="3"/>
  <c r="Y89" i="3" s="1"/>
  <c r="Z12" i="4" s="1"/>
  <c r="Y74" i="3"/>
  <c r="Y90" i="3" s="1"/>
  <c r="Z13" i="4" s="1"/>
  <c r="Y82" i="3"/>
  <c r="Y98" i="3" s="1"/>
  <c r="Z18" i="4" s="1"/>
  <c r="Y79" i="3"/>
  <c r="Y95" i="3" s="1"/>
  <c r="Y81" i="3"/>
  <c r="Y97" i="3" s="1"/>
  <c r="Y72" i="3"/>
  <c r="Y88" i="3" s="1"/>
  <c r="Z11" i="4" s="1"/>
  <c r="Y76" i="3"/>
  <c r="Y92" i="3" s="1"/>
  <c r="Y71" i="3"/>
  <c r="Y87" i="3" s="1"/>
  <c r="Z10" i="4" s="1"/>
  <c r="Y75" i="3"/>
  <c r="Y91" i="3" s="1"/>
  <c r="Y84" i="3"/>
  <c r="Y78" i="3"/>
  <c r="Y94" i="3" s="1"/>
  <c r="Z15" i="4" s="1"/>
  <c r="Y83" i="3"/>
  <c r="Y99" i="3" s="1"/>
  <c r="Y80" i="3"/>
  <c r="Y96" i="3" s="1"/>
  <c r="X67" i="4"/>
  <c r="X81" i="4"/>
  <c r="X117" i="3"/>
  <c r="X114" i="3"/>
  <c r="X130" i="3" s="1"/>
  <c r="Y26" i="4" s="1"/>
  <c r="X110" i="3"/>
  <c r="X126" i="3" s="1"/>
  <c r="Y23" i="4" s="1"/>
  <c r="X107" i="3"/>
  <c r="X123" i="3" s="1"/>
  <c r="Y22" i="4" s="1"/>
  <c r="X106" i="3"/>
  <c r="X122" i="3" s="1"/>
  <c r="Y21" i="4" s="1"/>
  <c r="X116" i="3"/>
  <c r="X132" i="3" s="1"/>
  <c r="X108" i="3"/>
  <c r="X124" i="3" s="1"/>
  <c r="X112" i="3"/>
  <c r="X128" i="3" s="1"/>
  <c r="X111" i="3"/>
  <c r="X127" i="3" s="1"/>
  <c r="Y24" i="4" s="1"/>
  <c r="X109" i="3"/>
  <c r="X125" i="3" s="1"/>
  <c r="X104" i="3"/>
  <c r="X120" i="3" s="1"/>
  <c r="Y19" i="4" s="1"/>
  <c r="X115" i="3"/>
  <c r="X131" i="3" s="1"/>
  <c r="Y27" i="4" s="1"/>
  <c r="X105" i="3"/>
  <c r="X121" i="3" s="1"/>
  <c r="Y20" i="4" s="1"/>
  <c r="X113" i="3"/>
  <c r="X129" i="3" s="1"/>
  <c r="AB51" i="5"/>
  <c r="AA55" i="5"/>
  <c r="Y50" i="4"/>
  <c r="Y16" i="4"/>
  <c r="X100" i="3"/>
  <c r="AE55" i="4"/>
  <c r="X84" i="4"/>
  <c r="Y7" i="4"/>
  <c r="Y20" i="2"/>
  <c r="X19" i="3"/>
  <c r="X144" i="3"/>
  <c r="X160" i="3" s="1"/>
  <c r="Y33" i="4" s="1"/>
  <c r="X141" i="3"/>
  <c r="X157" i="3" s="1"/>
  <c r="X137" i="3"/>
  <c r="X153" i="3" s="1"/>
  <c r="Y28" i="4" s="1"/>
  <c r="X145" i="3"/>
  <c r="X161" i="3" s="1"/>
  <c r="X143" i="3"/>
  <c r="X159" i="3" s="1"/>
  <c r="Y32" i="4" s="1"/>
  <c r="X140" i="3"/>
  <c r="X156" i="3" s="1"/>
  <c r="Y31" i="4" s="1"/>
  <c r="X149" i="3"/>
  <c r="X165" i="3" s="1"/>
  <c r="X150" i="3"/>
  <c r="X148" i="3"/>
  <c r="X164" i="3" s="1"/>
  <c r="Y36" i="4" s="1"/>
  <c r="X138" i="3"/>
  <c r="X154" i="3" s="1"/>
  <c r="Y29" i="4" s="1"/>
  <c r="X139" i="3"/>
  <c r="X155" i="3" s="1"/>
  <c r="Y30" i="4" s="1"/>
  <c r="X146" i="3"/>
  <c r="X162" i="3" s="1"/>
  <c r="X147" i="3"/>
  <c r="X163" i="3" s="1"/>
  <c r="Y35" i="4" s="1"/>
  <c r="X142" i="3"/>
  <c r="X158" i="3" s="1"/>
  <c r="X82" i="4"/>
  <c r="AA85" i="4"/>
  <c r="Z100" i="4"/>
  <c r="Z136" i="4" s="1"/>
  <c r="AC101" i="4"/>
  <c r="AC123" i="4" s="1"/>
  <c r="AD56" i="4"/>
  <c r="AA107" i="4"/>
  <c r="AA127" i="4" s="1"/>
  <c r="AB62" i="4"/>
  <c r="U10" i="12"/>
  <c r="V3" i="12"/>
  <c r="X58" i="4"/>
  <c r="Y17" i="4"/>
  <c r="X44" i="4"/>
  <c r="U9" i="12"/>
  <c r="V2" i="12"/>
  <c r="AA78" i="4"/>
  <c r="Z108" i="4"/>
  <c r="Z128" i="4" s="1"/>
  <c r="V4" i="12"/>
  <c r="U11" i="12"/>
  <c r="X34" i="4"/>
  <c r="X87" i="4" s="1"/>
  <c r="W166" i="3"/>
  <c r="Z19" i="2"/>
  <c r="Y103" i="3"/>
  <c r="Z5" i="4"/>
  <c r="AA17" i="2"/>
  <c r="X25" i="4"/>
  <c r="X72" i="4" s="1"/>
  <c r="W133" i="3"/>
  <c r="X137" i="4"/>
  <c r="X126" i="4"/>
  <c r="W103" i="4"/>
  <c r="W134" i="4" s="1"/>
  <c r="X42" i="4"/>
  <c r="W122" i="4" l="1"/>
  <c r="W132" i="4"/>
  <c r="W121" i="4"/>
  <c r="W120" i="4"/>
  <c r="W133" i="4"/>
  <c r="X96" i="4"/>
  <c r="X94" i="4"/>
  <c r="W110" i="4"/>
  <c r="W115" i="4" s="1"/>
  <c r="Y37" i="4"/>
  <c r="X103" i="4"/>
  <c r="X134" i="4" s="1"/>
  <c r="X95" i="4"/>
  <c r="X99" i="4"/>
  <c r="X43" i="4"/>
  <c r="X102" i="4"/>
  <c r="Y41" i="4"/>
  <c r="X97" i="4"/>
  <c r="X104" i="4"/>
  <c r="X135" i="4" s="1"/>
  <c r="X98" i="4"/>
  <c r="Z49" i="4"/>
  <c r="Y66" i="4"/>
  <c r="Y39" i="4"/>
  <c r="Z51" i="4"/>
  <c r="Y88" i="4"/>
  <c r="Z50" i="4"/>
  <c r="Y65" i="4"/>
  <c r="Y38" i="4"/>
  <c r="Y81" i="4"/>
  <c r="Y79" i="4"/>
  <c r="Y80" i="4"/>
  <c r="Z54" i="4"/>
  <c r="Z59" i="4"/>
  <c r="Y89" i="4"/>
  <c r="Y84" i="4"/>
  <c r="AC51" i="5"/>
  <c r="AB55" i="5"/>
  <c r="Y74" i="4"/>
  <c r="Y68" i="4"/>
  <c r="Y83" i="4"/>
  <c r="Z52" i="4"/>
  <c r="V10" i="12"/>
  <c r="W3" i="12"/>
  <c r="Y67" i="4"/>
  <c r="Y69" i="4"/>
  <c r="W4" i="12"/>
  <c r="V11" i="12"/>
  <c r="AB85" i="4"/>
  <c r="AA100" i="4"/>
  <c r="AA136" i="4" s="1"/>
  <c r="AF63" i="4"/>
  <c r="AB78" i="4"/>
  <c r="AA108" i="4"/>
  <c r="AA128" i="4" s="1"/>
  <c r="X166" i="3"/>
  <c r="Y34" i="4"/>
  <c r="Y87" i="4" s="1"/>
  <c r="Y73" i="4"/>
  <c r="AB107" i="4"/>
  <c r="AB127" i="4" s="1"/>
  <c r="AC62" i="4"/>
  <c r="X39" i="3"/>
  <c r="X55" i="3" s="1"/>
  <c r="X43" i="3"/>
  <c r="X59" i="3" s="1"/>
  <c r="X41" i="3"/>
  <c r="X57" i="3" s="1"/>
  <c r="X48" i="3"/>
  <c r="X64" i="3" s="1"/>
  <c r="X51" i="3"/>
  <c r="X67" i="3" s="1"/>
  <c r="X38" i="3"/>
  <c r="X54" i="3" s="1"/>
  <c r="X46" i="3"/>
  <c r="X62" i="3" s="1"/>
  <c r="X42" i="3"/>
  <c r="X58" i="3" s="1"/>
  <c r="X50" i="3"/>
  <c r="X66" i="3" s="1"/>
  <c r="X47" i="3"/>
  <c r="X63" i="3" s="1"/>
  <c r="X45" i="3"/>
  <c r="X61" i="3" s="1"/>
  <c r="X44" i="3"/>
  <c r="X60" i="3" s="1"/>
  <c r="X49" i="3"/>
  <c r="X65" i="3" s="1"/>
  <c r="X40" i="3"/>
  <c r="X56" i="3" s="1"/>
  <c r="Y57" i="4"/>
  <c r="W124" i="4"/>
  <c r="Y42" i="4"/>
  <c r="AA6" i="4"/>
  <c r="Z136" i="3"/>
  <c r="AB18" i="2"/>
  <c r="Y114" i="3"/>
  <c r="Y130" i="3" s="1"/>
  <c r="Z26" i="4" s="1"/>
  <c r="Y112" i="3"/>
  <c r="Y128" i="3" s="1"/>
  <c r="Y116" i="3"/>
  <c r="Y132" i="3" s="1"/>
  <c r="Y115" i="3"/>
  <c r="Y131" i="3" s="1"/>
  <c r="Z27" i="4" s="1"/>
  <c r="Y107" i="3"/>
  <c r="Y123" i="3" s="1"/>
  <c r="Z22" i="4" s="1"/>
  <c r="Y113" i="3"/>
  <c r="Y129" i="3" s="1"/>
  <c r="Y108" i="3"/>
  <c r="Y124" i="3" s="1"/>
  <c r="Y111" i="3"/>
  <c r="Y127" i="3" s="1"/>
  <c r="Z24" i="4" s="1"/>
  <c r="Y106" i="3"/>
  <c r="Y122" i="3" s="1"/>
  <c r="Z21" i="4" s="1"/>
  <c r="Y109" i="3"/>
  <c r="Y125" i="3" s="1"/>
  <c r="Y110" i="3"/>
  <c r="Y126" i="3" s="1"/>
  <c r="Z23" i="4" s="1"/>
  <c r="Y105" i="3"/>
  <c r="Y121" i="3" s="1"/>
  <c r="Z20" i="4" s="1"/>
  <c r="Y104" i="3"/>
  <c r="Y120" i="3" s="1"/>
  <c r="Z19" i="4" s="1"/>
  <c r="Y117" i="3"/>
  <c r="Y82" i="4"/>
  <c r="Y145" i="3"/>
  <c r="Y161" i="3" s="1"/>
  <c r="Y147" i="3"/>
  <c r="Y163" i="3" s="1"/>
  <c r="Z35" i="4" s="1"/>
  <c r="Y138" i="3"/>
  <c r="Y154" i="3" s="1"/>
  <c r="Z29" i="4" s="1"/>
  <c r="Y150" i="3"/>
  <c r="Y148" i="3"/>
  <c r="Y164" i="3" s="1"/>
  <c r="Z36" i="4" s="1"/>
  <c r="Y140" i="3"/>
  <c r="Y156" i="3" s="1"/>
  <c r="Z31" i="4" s="1"/>
  <c r="Y146" i="3"/>
  <c r="Y162" i="3" s="1"/>
  <c r="Y149" i="3"/>
  <c r="Y165" i="3" s="1"/>
  <c r="Y139" i="3"/>
  <c r="Y155" i="3" s="1"/>
  <c r="Z30" i="4" s="1"/>
  <c r="Y143" i="3"/>
  <c r="Y159" i="3" s="1"/>
  <c r="Z32" i="4" s="1"/>
  <c r="Y141" i="3"/>
  <c r="Y157" i="3" s="1"/>
  <c r="Y144" i="3"/>
  <c r="Y160" i="3" s="1"/>
  <c r="Z33" i="4" s="1"/>
  <c r="Y137" i="3"/>
  <c r="Y153" i="3" s="1"/>
  <c r="Z28" i="4" s="1"/>
  <c r="Y142" i="3"/>
  <c r="Y158" i="3" s="1"/>
  <c r="Z7" i="4"/>
  <c r="Z20" i="2"/>
  <c r="Y19" i="3"/>
  <c r="AA70" i="3"/>
  <c r="AB4" i="4"/>
  <c r="AC16" i="2"/>
  <c r="Z103" i="3"/>
  <c r="AA5" i="4"/>
  <c r="AB17" i="2"/>
  <c r="AD101" i="4"/>
  <c r="AD123" i="4" s="1"/>
  <c r="AE56" i="4"/>
  <c r="AA19" i="2"/>
  <c r="Y45" i="4"/>
  <c r="Y58" i="4"/>
  <c r="Y44" i="4"/>
  <c r="Z17" i="4"/>
  <c r="Z53" i="4"/>
  <c r="AF55" i="4"/>
  <c r="Y64" i="4"/>
  <c r="Y106" i="4"/>
  <c r="V9" i="12"/>
  <c r="W2" i="12"/>
  <c r="Y25" i="4"/>
  <c r="Y72" i="4" s="1"/>
  <c r="X133" i="3"/>
  <c r="Z16" i="4"/>
  <c r="Y100" i="3"/>
  <c r="Z81" i="3"/>
  <c r="Z97" i="3" s="1"/>
  <c r="Z78" i="3"/>
  <c r="Z94" i="3" s="1"/>
  <c r="AA15" i="4" s="1"/>
  <c r="Z74" i="3"/>
  <c r="Z90" i="3" s="1"/>
  <c r="AA13" i="4" s="1"/>
  <c r="Z82" i="3"/>
  <c r="Z98" i="3" s="1"/>
  <c r="AA18" i="4" s="1"/>
  <c r="Z84" i="3"/>
  <c r="Z80" i="3"/>
  <c r="Z96" i="3" s="1"/>
  <c r="Z72" i="3"/>
  <c r="Z88" i="3" s="1"/>
  <c r="AA11" i="4" s="1"/>
  <c r="Z73" i="3"/>
  <c r="Z89" i="3" s="1"/>
  <c r="AA12" i="4" s="1"/>
  <c r="Z76" i="3"/>
  <c r="Z92" i="3" s="1"/>
  <c r="Z79" i="3"/>
  <c r="Z95" i="3" s="1"/>
  <c r="Z75" i="3"/>
  <c r="Z91" i="3" s="1"/>
  <c r="Z71" i="3"/>
  <c r="Z87" i="3" s="1"/>
  <c r="AA10" i="4" s="1"/>
  <c r="Z83" i="3"/>
  <c r="Z99" i="3" s="1"/>
  <c r="Z77" i="3"/>
  <c r="Z93" i="3" s="1"/>
  <c r="AA14" i="4" s="1"/>
  <c r="Y40" i="4"/>
  <c r="X121" i="4" l="1"/>
  <c r="X120" i="4"/>
  <c r="Y104" i="4"/>
  <c r="Y135" i="4" s="1"/>
  <c r="Y94" i="4"/>
  <c r="X124" i="4"/>
  <c r="Z40" i="4"/>
  <c r="Y99" i="4"/>
  <c r="X122" i="4"/>
  <c r="Y95" i="4"/>
  <c r="Y98" i="4"/>
  <c r="Y97" i="4"/>
  <c r="X133" i="4"/>
  <c r="X110" i="4"/>
  <c r="X115" i="4" s="1"/>
  <c r="Y103" i="4"/>
  <c r="Y134" i="4" s="1"/>
  <c r="X132" i="4"/>
  <c r="Y96" i="4"/>
  <c r="AA53" i="4"/>
  <c r="AA59" i="4"/>
  <c r="Z66" i="4"/>
  <c r="Z39" i="4"/>
  <c r="AA52" i="4"/>
  <c r="AA54" i="4"/>
  <c r="Z88" i="4"/>
  <c r="Z80" i="4"/>
  <c r="Z68" i="4"/>
  <c r="Z41" i="4"/>
  <c r="Z83" i="4"/>
  <c r="AA49" i="4"/>
  <c r="Z81" i="4"/>
  <c r="Z73" i="4"/>
  <c r="AA50" i="4"/>
  <c r="Z84" i="4"/>
  <c r="Z65" i="4"/>
  <c r="Z38" i="4"/>
  <c r="Z74" i="4"/>
  <c r="Z45" i="4"/>
  <c r="X4" i="12"/>
  <c r="W11" i="12"/>
  <c r="AA51" i="4"/>
  <c r="Z57" i="4"/>
  <c r="AC78" i="4"/>
  <c r="AB108" i="4"/>
  <c r="AB128" i="4" s="1"/>
  <c r="Z106" i="4"/>
  <c r="AC107" i="4"/>
  <c r="AC127" i="4" s="1"/>
  <c r="AD62" i="4"/>
  <c r="AG63" i="4"/>
  <c r="Z69" i="4"/>
  <c r="AA103" i="3"/>
  <c r="AB5" i="4"/>
  <c r="AC17" i="2"/>
  <c r="Z104" i="3"/>
  <c r="Z120" i="3" s="1"/>
  <c r="AA19" i="4" s="1"/>
  <c r="Z110" i="3"/>
  <c r="Z126" i="3" s="1"/>
  <c r="AA23" i="4" s="1"/>
  <c r="Z115" i="3"/>
  <c r="Z131" i="3" s="1"/>
  <c r="AA27" i="4" s="1"/>
  <c r="Z109" i="3"/>
  <c r="Z125" i="3" s="1"/>
  <c r="Z114" i="3"/>
  <c r="Z130" i="3" s="1"/>
  <c r="AA26" i="4" s="1"/>
  <c r="Z107" i="3"/>
  <c r="Z123" i="3" s="1"/>
  <c r="AA22" i="4" s="1"/>
  <c r="Z112" i="3"/>
  <c r="Z128" i="3" s="1"/>
  <c r="Z108" i="3"/>
  <c r="Z124" i="3" s="1"/>
  <c r="Z113" i="3"/>
  <c r="Z129" i="3" s="1"/>
  <c r="Z105" i="3"/>
  <c r="Z121" i="3" s="1"/>
  <c r="AA20" i="4" s="1"/>
  <c r="Z116" i="3"/>
  <c r="Z132" i="3" s="1"/>
  <c r="Z111" i="3"/>
  <c r="Z127" i="3" s="1"/>
  <c r="AA24" i="4" s="1"/>
  <c r="Z106" i="3"/>
  <c r="Z122" i="3" s="1"/>
  <c r="AA21" i="4" s="1"/>
  <c r="Z117" i="3"/>
  <c r="AD51" i="5"/>
  <c r="AC55" i="5"/>
  <c r="Z79" i="4"/>
  <c r="AG55" i="4"/>
  <c r="Y102" i="4"/>
  <c r="W9" i="12"/>
  <c r="X2" i="12"/>
  <c r="Y43" i="4"/>
  <c r="AB70" i="3"/>
  <c r="AC4" i="4"/>
  <c r="AD16" i="2"/>
  <c r="AA136" i="3"/>
  <c r="AB6" i="4"/>
  <c r="AC18" i="2"/>
  <c r="Z67" i="4"/>
  <c r="Y166" i="3"/>
  <c r="Z34" i="4"/>
  <c r="Z87" i="4" s="1"/>
  <c r="Z89" i="4"/>
  <c r="Z100" i="3"/>
  <c r="AA16" i="4"/>
  <c r="Y48" i="3"/>
  <c r="Y64" i="3" s="1"/>
  <c r="Y44" i="3"/>
  <c r="Y60" i="3" s="1"/>
  <c r="Y43" i="3"/>
  <c r="Y59" i="3" s="1"/>
  <c r="Y51" i="3"/>
  <c r="Y67" i="3" s="1"/>
  <c r="Y39" i="3"/>
  <c r="Y55" i="3" s="1"/>
  <c r="Y46" i="3"/>
  <c r="Y62" i="3" s="1"/>
  <c r="Y41" i="3"/>
  <c r="Y57" i="3" s="1"/>
  <c r="Y49" i="3"/>
  <c r="Y65" i="3" s="1"/>
  <c r="Y40" i="3"/>
  <c r="Y56" i="3" s="1"/>
  <c r="Y47" i="3"/>
  <c r="Y63" i="3" s="1"/>
  <c r="Y38" i="3"/>
  <c r="Y54" i="3" s="1"/>
  <c r="Y42" i="3"/>
  <c r="Y58" i="3" s="1"/>
  <c r="Y45" i="3"/>
  <c r="Y61" i="3" s="1"/>
  <c r="Y50" i="3"/>
  <c r="Y66" i="3" s="1"/>
  <c r="AE101" i="4"/>
  <c r="AE123" i="4" s="1"/>
  <c r="AF56" i="4"/>
  <c r="AB19" i="2"/>
  <c r="Z82" i="4"/>
  <c r="Z148" i="3"/>
  <c r="Z164" i="3" s="1"/>
  <c r="AA36" i="4" s="1"/>
  <c r="Z139" i="3"/>
  <c r="Z155" i="3" s="1"/>
  <c r="AA30" i="4" s="1"/>
  <c r="Z143" i="3"/>
  <c r="Z159" i="3" s="1"/>
  <c r="AA32" i="4" s="1"/>
  <c r="Z150" i="3"/>
  <c r="Z146" i="3"/>
  <c r="Z162" i="3" s="1"/>
  <c r="Z137" i="3"/>
  <c r="Z153" i="3" s="1"/>
  <c r="AA28" i="4" s="1"/>
  <c r="Z140" i="3"/>
  <c r="Z156" i="3" s="1"/>
  <c r="AA31" i="4" s="1"/>
  <c r="Z142" i="3"/>
  <c r="Z158" i="3" s="1"/>
  <c r="Z141" i="3"/>
  <c r="Z157" i="3" s="1"/>
  <c r="Z145" i="3"/>
  <c r="Z161" i="3" s="1"/>
  <c r="Z149" i="3"/>
  <c r="Z165" i="3" s="1"/>
  <c r="Z147" i="3"/>
  <c r="Z163" i="3" s="1"/>
  <c r="AA35" i="4" s="1"/>
  <c r="Z138" i="3"/>
  <c r="Z154" i="3" s="1"/>
  <c r="AA29" i="4" s="1"/>
  <c r="Z144" i="3"/>
  <c r="Z160" i="3" s="1"/>
  <c r="AA33" i="4" s="1"/>
  <c r="Y126" i="4"/>
  <c r="Y137" i="4"/>
  <c r="Z64" i="4"/>
  <c r="AA17" i="4"/>
  <c r="Z44" i="4"/>
  <c r="Z58" i="4"/>
  <c r="X3" i="12"/>
  <c r="W10" i="12"/>
  <c r="Z42" i="4"/>
  <c r="Z37" i="4"/>
  <c r="AA75" i="3"/>
  <c r="AA91" i="3" s="1"/>
  <c r="AA83" i="3"/>
  <c r="AA99" i="3" s="1"/>
  <c r="AA76" i="3"/>
  <c r="AA92" i="3" s="1"/>
  <c r="AA72" i="3"/>
  <c r="AA88" i="3" s="1"/>
  <c r="AB11" i="4" s="1"/>
  <c r="AA81" i="3"/>
  <c r="AA97" i="3" s="1"/>
  <c r="AA78" i="3"/>
  <c r="AA94" i="3" s="1"/>
  <c r="AB15" i="4" s="1"/>
  <c r="AA73" i="3"/>
  <c r="AA89" i="3" s="1"/>
  <c r="AB12" i="4" s="1"/>
  <c r="AA74" i="3"/>
  <c r="AA90" i="3" s="1"/>
  <c r="AB13" i="4" s="1"/>
  <c r="AA79" i="3"/>
  <c r="AA95" i="3" s="1"/>
  <c r="AA77" i="3"/>
  <c r="AA93" i="3" s="1"/>
  <c r="AB14" i="4" s="1"/>
  <c r="AA71" i="3"/>
  <c r="AA87" i="3" s="1"/>
  <c r="AB10" i="4" s="1"/>
  <c r="AA82" i="3"/>
  <c r="AA98" i="3" s="1"/>
  <c r="AB18" i="4" s="1"/>
  <c r="AA84" i="3"/>
  <c r="AA80" i="3"/>
  <c r="AA96" i="3" s="1"/>
  <c r="AA7" i="4"/>
  <c r="AA20" i="2"/>
  <c r="Z19" i="3"/>
  <c r="Z25" i="4"/>
  <c r="Z72" i="4" s="1"/>
  <c r="Y133" i="3"/>
  <c r="AC85" i="4"/>
  <c r="AB100" i="4"/>
  <c r="AB136" i="4" s="1"/>
  <c r="Y122" i="4" l="1"/>
  <c r="Z97" i="4"/>
  <c r="Z94" i="4"/>
  <c r="Y133" i="4"/>
  <c r="Z104" i="4"/>
  <c r="Z135" i="4" s="1"/>
  <c r="Y120" i="4"/>
  <c r="Z99" i="4"/>
  <c r="Y121" i="4"/>
  <c r="AA45" i="4"/>
  <c r="AA37" i="4"/>
  <c r="Y110" i="4"/>
  <c r="Y115" i="4" s="1"/>
  <c r="Y124" i="4"/>
  <c r="Z98" i="4"/>
  <c r="Y132" i="4"/>
  <c r="Z43" i="4"/>
  <c r="Z95" i="4"/>
  <c r="Z96" i="4"/>
  <c r="AB49" i="4"/>
  <c r="AA83" i="4"/>
  <c r="AB51" i="4"/>
  <c r="AB59" i="4"/>
  <c r="AB50" i="4"/>
  <c r="AA84" i="4"/>
  <c r="AA67" i="4"/>
  <c r="AA40" i="4"/>
  <c r="AA80" i="4"/>
  <c r="AB53" i="4"/>
  <c r="AA88" i="4"/>
  <c r="AA69" i="4"/>
  <c r="AA42" i="4"/>
  <c r="AB52" i="4"/>
  <c r="AA81" i="4"/>
  <c r="AA65" i="4"/>
  <c r="AA38" i="4"/>
  <c r="AA68" i="4"/>
  <c r="AA41" i="4"/>
  <c r="AB54" i="4"/>
  <c r="AA66" i="4"/>
  <c r="AA79" i="4"/>
  <c r="AH63" i="4"/>
  <c r="AA89" i="4"/>
  <c r="X9" i="12"/>
  <c r="Y2" i="12"/>
  <c r="AB103" i="3"/>
  <c r="AC5" i="4"/>
  <c r="AD17" i="2"/>
  <c r="AE62" i="4"/>
  <c r="AD107" i="4"/>
  <c r="AD127" i="4" s="1"/>
  <c r="AA57" i="4"/>
  <c r="AA39" i="4"/>
  <c r="AB83" i="3"/>
  <c r="AB99" i="3" s="1"/>
  <c r="AB74" i="3"/>
  <c r="AB90" i="3" s="1"/>
  <c r="AC13" i="4" s="1"/>
  <c r="AB82" i="3"/>
  <c r="AB98" i="3" s="1"/>
  <c r="AC18" i="4" s="1"/>
  <c r="AB72" i="3"/>
  <c r="AB88" i="3" s="1"/>
  <c r="AC11" i="4" s="1"/>
  <c r="AB71" i="3"/>
  <c r="AB87" i="3" s="1"/>
  <c r="AC10" i="4" s="1"/>
  <c r="AB79" i="3"/>
  <c r="AB95" i="3" s="1"/>
  <c r="AB78" i="3"/>
  <c r="AB94" i="3" s="1"/>
  <c r="AC15" i="4" s="1"/>
  <c r="AB76" i="3"/>
  <c r="AB92" i="3" s="1"/>
  <c r="AB80" i="3"/>
  <c r="AB96" i="3" s="1"/>
  <c r="AB81" i="3"/>
  <c r="AB97" i="3" s="1"/>
  <c r="AB73" i="3"/>
  <c r="AB89" i="3" s="1"/>
  <c r="AC12" i="4" s="1"/>
  <c r="AB77" i="3"/>
  <c r="AB93" i="3" s="1"/>
  <c r="AC14" i="4" s="1"/>
  <c r="AB84" i="3"/>
  <c r="AB75" i="3"/>
  <c r="AB91" i="3" s="1"/>
  <c r="AE51" i="5"/>
  <c r="AD55" i="5"/>
  <c r="Y3" i="12"/>
  <c r="X10" i="12"/>
  <c r="AA82" i="4"/>
  <c r="AD4" i="4"/>
  <c r="AC70" i="3"/>
  <c r="AE16" i="2"/>
  <c r="AA25" i="4"/>
  <c r="AA72" i="4" s="1"/>
  <c r="Z133" i="3"/>
  <c r="AA108" i="3"/>
  <c r="AA124" i="3" s="1"/>
  <c r="AA107" i="3"/>
  <c r="AA123" i="3" s="1"/>
  <c r="AB22" i="4" s="1"/>
  <c r="AA112" i="3"/>
  <c r="AA128" i="3" s="1"/>
  <c r="AA105" i="3"/>
  <c r="AA121" i="3" s="1"/>
  <c r="AB20" i="4" s="1"/>
  <c r="AA116" i="3"/>
  <c r="AA132" i="3" s="1"/>
  <c r="AA113" i="3"/>
  <c r="AA129" i="3" s="1"/>
  <c r="AA115" i="3"/>
  <c r="AA131" i="3" s="1"/>
  <c r="AB27" i="4" s="1"/>
  <c r="AA117" i="3"/>
  <c r="AA110" i="3"/>
  <c r="AA126" i="3" s="1"/>
  <c r="AB23" i="4" s="1"/>
  <c r="AA114" i="3"/>
  <c r="AA130" i="3" s="1"/>
  <c r="AB26" i="4" s="1"/>
  <c r="AA109" i="3"/>
  <c r="AA125" i="3" s="1"/>
  <c r="AA111" i="3"/>
  <c r="AA127" i="3" s="1"/>
  <c r="AB24" i="4" s="1"/>
  <c r="AA106" i="3"/>
  <c r="AA122" i="3" s="1"/>
  <c r="AB21" i="4" s="1"/>
  <c r="AA104" i="3"/>
  <c r="AA120" i="3" s="1"/>
  <c r="AB19" i="4" s="1"/>
  <c r="Z126" i="4"/>
  <c r="Z137" i="4"/>
  <c r="AA34" i="4"/>
  <c r="AA87" i="4" s="1"/>
  <c r="Z166" i="3"/>
  <c r="AA74" i="4"/>
  <c r="AH55" i="4"/>
  <c r="Y4" i="12"/>
  <c r="X11" i="12"/>
  <c r="AA140" i="3"/>
  <c r="AA156" i="3" s="1"/>
  <c r="AB31" i="4" s="1"/>
  <c r="AA150" i="3"/>
  <c r="AA138" i="3"/>
  <c r="AA154" i="3" s="1"/>
  <c r="AB29" i="4" s="1"/>
  <c r="AA146" i="3"/>
  <c r="AA162" i="3" s="1"/>
  <c r="AA149" i="3"/>
  <c r="AA165" i="3" s="1"/>
  <c r="AA147" i="3"/>
  <c r="AA163" i="3" s="1"/>
  <c r="AB35" i="4" s="1"/>
  <c r="AA143" i="3"/>
  <c r="AA159" i="3" s="1"/>
  <c r="AB32" i="4" s="1"/>
  <c r="AA137" i="3"/>
  <c r="AA153" i="3" s="1"/>
  <c r="AB28" i="4" s="1"/>
  <c r="AA144" i="3"/>
  <c r="AA160" i="3" s="1"/>
  <c r="AB33" i="4" s="1"/>
  <c r="AA148" i="3"/>
  <c r="AA164" i="3" s="1"/>
  <c r="AB36" i="4" s="1"/>
  <c r="AA145" i="3"/>
  <c r="AA161" i="3" s="1"/>
  <c r="AA139" i="3"/>
  <c r="AA155" i="3" s="1"/>
  <c r="AB30" i="4" s="1"/>
  <c r="AA142" i="3"/>
  <c r="AA158" i="3" s="1"/>
  <c r="AA141" i="3"/>
  <c r="AA157" i="3" s="1"/>
  <c r="Z103" i="4"/>
  <c r="Z134" i="4" s="1"/>
  <c r="AD78" i="4"/>
  <c r="AC108" i="4"/>
  <c r="AC128" i="4" s="1"/>
  <c r="AB136" i="3"/>
  <c r="AC6" i="4"/>
  <c r="AD18" i="2"/>
  <c r="AA64" i="4"/>
  <c r="AA73" i="4"/>
  <c r="AB16" i="4"/>
  <c r="AA100" i="3"/>
  <c r="AA106" i="4"/>
  <c r="AB7" i="4"/>
  <c r="AB20" i="2"/>
  <c r="AA19" i="3"/>
  <c r="AD85" i="4"/>
  <c r="AC100" i="4"/>
  <c r="AC136" i="4" s="1"/>
  <c r="Z50" i="3"/>
  <c r="Z66" i="3" s="1"/>
  <c r="Z45" i="3"/>
  <c r="Z61" i="3" s="1"/>
  <c r="Z41" i="3"/>
  <c r="Z57" i="3" s="1"/>
  <c r="Z43" i="3"/>
  <c r="Z59" i="3" s="1"/>
  <c r="Z38" i="3"/>
  <c r="Z54" i="3" s="1"/>
  <c r="Z51" i="3"/>
  <c r="Z67" i="3" s="1"/>
  <c r="Z40" i="3"/>
  <c r="Z56" i="3" s="1"/>
  <c r="Z42" i="3"/>
  <c r="Z58" i="3" s="1"/>
  <c r="Z47" i="3"/>
  <c r="Z63" i="3" s="1"/>
  <c r="Z39" i="3"/>
  <c r="Z55" i="3" s="1"/>
  <c r="Z46" i="3"/>
  <c r="Z62" i="3" s="1"/>
  <c r="Z44" i="3"/>
  <c r="Z60" i="3" s="1"/>
  <c r="Z48" i="3"/>
  <c r="Z64" i="3" s="1"/>
  <c r="Z49" i="3"/>
  <c r="Z65" i="3" s="1"/>
  <c r="AA44" i="4"/>
  <c r="AA58" i="4"/>
  <c r="AB17" i="4"/>
  <c r="AF101" i="4"/>
  <c r="AF123" i="4" s="1"/>
  <c r="AG56" i="4"/>
  <c r="AG101" i="4" s="1"/>
  <c r="AC19" i="2"/>
  <c r="Z102" i="4"/>
  <c r="Z133" i="4" l="1"/>
  <c r="Z121" i="4"/>
  <c r="AA97" i="4"/>
  <c r="Z122" i="4"/>
  <c r="AB106" i="4"/>
  <c r="AB126" i="4" s="1"/>
  <c r="Z132" i="4"/>
  <c r="AA98" i="4"/>
  <c r="AA103" i="4"/>
  <c r="AA134" i="4" s="1"/>
  <c r="AA94" i="4"/>
  <c r="AA104" i="4"/>
  <c r="AA135" i="4" s="1"/>
  <c r="Z110" i="4"/>
  <c r="Z115" i="4" s="1"/>
  <c r="AA96" i="4"/>
  <c r="AD19" i="2"/>
  <c r="AC19" i="3" s="1"/>
  <c r="AA99" i="4"/>
  <c r="AA95" i="4"/>
  <c r="Z120" i="4"/>
  <c r="AC59" i="4"/>
  <c r="AC52" i="4"/>
  <c r="AB74" i="4"/>
  <c r="AB45" i="4"/>
  <c r="AB68" i="4"/>
  <c r="AB41" i="4"/>
  <c r="AB83" i="4"/>
  <c r="AC51" i="4"/>
  <c r="AB79" i="4"/>
  <c r="AB64" i="4"/>
  <c r="AB37" i="4"/>
  <c r="AB88" i="4"/>
  <c r="AB66" i="4"/>
  <c r="AB39" i="4"/>
  <c r="AC49" i="4"/>
  <c r="AC53" i="4"/>
  <c r="AC50" i="4"/>
  <c r="AE78" i="4"/>
  <c r="AD108" i="4"/>
  <c r="AD128" i="4" s="1"/>
  <c r="AC136" i="3"/>
  <c r="AD6" i="4"/>
  <c r="AE18" i="2"/>
  <c r="AB84" i="4"/>
  <c r="AB89" i="4"/>
  <c r="AE107" i="4"/>
  <c r="AE127" i="4" s="1"/>
  <c r="AF62" i="4"/>
  <c r="AC54" i="4"/>
  <c r="AB65" i="4"/>
  <c r="AB82" i="4"/>
  <c r="AB42" i="4"/>
  <c r="AB81" i="4"/>
  <c r="AB80" i="4"/>
  <c r="Y10" i="12"/>
  <c r="Z3" i="12"/>
  <c r="AB69" i="4"/>
  <c r="AB38" i="4"/>
  <c r="Y11" i="12"/>
  <c r="Z4" i="12"/>
  <c r="AE4" i="4"/>
  <c r="AD70" i="3"/>
  <c r="AF16" i="2"/>
  <c r="AB57" i="4"/>
  <c r="AB148" i="3"/>
  <c r="AB164" i="3" s="1"/>
  <c r="AC36" i="4" s="1"/>
  <c r="AB141" i="3"/>
  <c r="AB157" i="3" s="1"/>
  <c r="AB138" i="3"/>
  <c r="AB154" i="3" s="1"/>
  <c r="AC29" i="4" s="1"/>
  <c r="AB149" i="3"/>
  <c r="AB165" i="3" s="1"/>
  <c r="AB150" i="3"/>
  <c r="AB145" i="3"/>
  <c r="AB161" i="3" s="1"/>
  <c r="AB144" i="3"/>
  <c r="AB160" i="3" s="1"/>
  <c r="AC33" i="4" s="1"/>
  <c r="AB143" i="3"/>
  <c r="AB159" i="3" s="1"/>
  <c r="AC32" i="4" s="1"/>
  <c r="AB140" i="3"/>
  <c r="AB156" i="3" s="1"/>
  <c r="AC31" i="4" s="1"/>
  <c r="AB137" i="3"/>
  <c r="AB153" i="3" s="1"/>
  <c r="AC28" i="4" s="1"/>
  <c r="AB139" i="3"/>
  <c r="AB155" i="3" s="1"/>
  <c r="AC30" i="4" s="1"/>
  <c r="AB142" i="3"/>
  <c r="AB158" i="3" s="1"/>
  <c r="AB147" i="3"/>
  <c r="AB163" i="3" s="1"/>
  <c r="AC35" i="4" s="1"/>
  <c r="AB146" i="3"/>
  <c r="AB162" i="3" s="1"/>
  <c r="AE85" i="4"/>
  <c r="AD100" i="4"/>
  <c r="AD136" i="4" s="1"/>
  <c r="AB73" i="4"/>
  <c r="AF51" i="5"/>
  <c r="AE55" i="5"/>
  <c r="AB105" i="3"/>
  <c r="AB121" i="3" s="1"/>
  <c r="AC20" i="4" s="1"/>
  <c r="AB107" i="3"/>
  <c r="AB123" i="3" s="1"/>
  <c r="AC22" i="4" s="1"/>
  <c r="AB111" i="3"/>
  <c r="AB127" i="3" s="1"/>
  <c r="AC24" i="4" s="1"/>
  <c r="AB108" i="3"/>
  <c r="AB124" i="3" s="1"/>
  <c r="AB115" i="3"/>
  <c r="AB131" i="3" s="1"/>
  <c r="AC27" i="4" s="1"/>
  <c r="AB104" i="3"/>
  <c r="AB120" i="3" s="1"/>
  <c r="AC19" i="4" s="1"/>
  <c r="AB117" i="3"/>
  <c r="AB113" i="3"/>
  <c r="AB129" i="3" s="1"/>
  <c r="AB106" i="3"/>
  <c r="AB122" i="3" s="1"/>
  <c r="AC21" i="4" s="1"/>
  <c r="AB112" i="3"/>
  <c r="AB128" i="3" s="1"/>
  <c r="AB114" i="3"/>
  <c r="AB130" i="3" s="1"/>
  <c r="AC26" i="4" s="1"/>
  <c r="AB116" i="3"/>
  <c r="AB132" i="3" s="1"/>
  <c r="AB110" i="3"/>
  <c r="AB126" i="3" s="1"/>
  <c r="AC23" i="4" s="1"/>
  <c r="AB109" i="3"/>
  <c r="AB125" i="3" s="1"/>
  <c r="AH101" i="4"/>
  <c r="AG123" i="4"/>
  <c r="AA126" i="4"/>
  <c r="AA137" i="4"/>
  <c r="AD5" i="4"/>
  <c r="AC103" i="3"/>
  <c r="AE17" i="2"/>
  <c r="AA102" i="4"/>
  <c r="AB67" i="4"/>
  <c r="AC7" i="4"/>
  <c r="AC20" i="2"/>
  <c r="AB19" i="3"/>
  <c r="AC106" i="4"/>
  <c r="AB25" i="4"/>
  <c r="AB72" i="4" s="1"/>
  <c r="AA133" i="3"/>
  <c r="AB44" i="4"/>
  <c r="AB58" i="4"/>
  <c r="AC17" i="4"/>
  <c r="AB34" i="4"/>
  <c r="AB87" i="4" s="1"/>
  <c r="AA166" i="3"/>
  <c r="AC77" i="3"/>
  <c r="AC93" i="3" s="1"/>
  <c r="AD14" i="4" s="1"/>
  <c r="AC78" i="3"/>
  <c r="AC94" i="3" s="1"/>
  <c r="AD15" i="4" s="1"/>
  <c r="AC82" i="3"/>
  <c r="AC98" i="3" s="1"/>
  <c r="AD18" i="4" s="1"/>
  <c r="AC71" i="3"/>
  <c r="AC87" i="3" s="1"/>
  <c r="AD10" i="4" s="1"/>
  <c r="AC75" i="3"/>
  <c r="AC91" i="3" s="1"/>
  <c r="AC76" i="3"/>
  <c r="AC92" i="3" s="1"/>
  <c r="AC84" i="3"/>
  <c r="AC80" i="3"/>
  <c r="AC96" i="3" s="1"/>
  <c r="AC73" i="3"/>
  <c r="AC89" i="3" s="1"/>
  <c r="AD12" i="4" s="1"/>
  <c r="AC72" i="3"/>
  <c r="AC88" i="3" s="1"/>
  <c r="AD11" i="4" s="1"/>
  <c r="AC79" i="3"/>
  <c r="AC95" i="3" s="1"/>
  <c r="AC81" i="3"/>
  <c r="AC97" i="3" s="1"/>
  <c r="AC74" i="3"/>
  <c r="AC90" i="3" s="1"/>
  <c r="AD13" i="4" s="1"/>
  <c r="AC83" i="3"/>
  <c r="AC99" i="3" s="1"/>
  <c r="Z124" i="4"/>
  <c r="AA46" i="3"/>
  <c r="AA62" i="3" s="1"/>
  <c r="AA43" i="3"/>
  <c r="AA59" i="3" s="1"/>
  <c r="AA42" i="3"/>
  <c r="AA58" i="3" s="1"/>
  <c r="AA44" i="3"/>
  <c r="AA60" i="3" s="1"/>
  <c r="AA49" i="3"/>
  <c r="AA65" i="3" s="1"/>
  <c r="AA47" i="3"/>
  <c r="AA63" i="3" s="1"/>
  <c r="AA51" i="3"/>
  <c r="AA67" i="3" s="1"/>
  <c r="AA39" i="3"/>
  <c r="AA55" i="3" s="1"/>
  <c r="AA45" i="3"/>
  <c r="AA61" i="3" s="1"/>
  <c r="AA41" i="3"/>
  <c r="AA57" i="3" s="1"/>
  <c r="AA38" i="3"/>
  <c r="AA54" i="3" s="1"/>
  <c r="AA48" i="3"/>
  <c r="AA64" i="3" s="1"/>
  <c r="AA50" i="3"/>
  <c r="AA66" i="3" s="1"/>
  <c r="AA40" i="3"/>
  <c r="AA56" i="3" s="1"/>
  <c r="AB100" i="3"/>
  <c r="AC16" i="4"/>
  <c r="AA43" i="4"/>
  <c r="Y9" i="12"/>
  <c r="Z2" i="12"/>
  <c r="AB40" i="4"/>
  <c r="AA110" i="4" l="1"/>
  <c r="AA115" i="4" s="1"/>
  <c r="AA133" i="4"/>
  <c r="AB94" i="4"/>
  <c r="AA122" i="4"/>
  <c r="AB137" i="4"/>
  <c r="AA121" i="4"/>
  <c r="AA120" i="4"/>
  <c r="AA124" i="4"/>
  <c r="AD7" i="4"/>
  <c r="AB104" i="4"/>
  <c r="AB135" i="4" s="1"/>
  <c r="AE19" i="2"/>
  <c r="AB103" i="4"/>
  <c r="AB134" i="4" s="1"/>
  <c r="AB95" i="4"/>
  <c r="AB99" i="4"/>
  <c r="AD20" i="2"/>
  <c r="AB97" i="4"/>
  <c r="AB98" i="4"/>
  <c r="AB96" i="4"/>
  <c r="AD51" i="4"/>
  <c r="AC81" i="4"/>
  <c r="AD52" i="4"/>
  <c r="AC68" i="4"/>
  <c r="AC41" i="4"/>
  <c r="AC79" i="4"/>
  <c r="AD49" i="4"/>
  <c r="AC89" i="4"/>
  <c r="AC69" i="4"/>
  <c r="AC42" i="4"/>
  <c r="AC83" i="4"/>
  <c r="AC66" i="4"/>
  <c r="AC39" i="4"/>
  <c r="AC64" i="4"/>
  <c r="AC37" i="4"/>
  <c r="AC80" i="4"/>
  <c r="AC74" i="4"/>
  <c r="AC45" i="4"/>
  <c r="AD59" i="4"/>
  <c r="AD50" i="4"/>
  <c r="AD54" i="4"/>
  <c r="AC84" i="4"/>
  <c r="AC149" i="3"/>
  <c r="AC165" i="3" s="1"/>
  <c r="AC144" i="3"/>
  <c r="AC160" i="3" s="1"/>
  <c r="AD33" i="4" s="1"/>
  <c r="AC146" i="3"/>
  <c r="AC162" i="3" s="1"/>
  <c r="AC142" i="3"/>
  <c r="AC158" i="3" s="1"/>
  <c r="AC148" i="3"/>
  <c r="AC164" i="3" s="1"/>
  <c r="AD36" i="4" s="1"/>
  <c r="AC139" i="3"/>
  <c r="AC155" i="3" s="1"/>
  <c r="AD30" i="4" s="1"/>
  <c r="AC150" i="3"/>
  <c r="AC143" i="3"/>
  <c r="AC159" i="3" s="1"/>
  <c r="AD32" i="4" s="1"/>
  <c r="AC141" i="3"/>
  <c r="AC157" i="3" s="1"/>
  <c r="AC145" i="3"/>
  <c r="AC161" i="3" s="1"/>
  <c r="AC138" i="3"/>
  <c r="AC154" i="3" s="1"/>
  <c r="AD29" i="4" s="1"/>
  <c r="AC147" i="3"/>
  <c r="AC163" i="3" s="1"/>
  <c r="AD35" i="4" s="1"/>
  <c r="AC140" i="3"/>
  <c r="AC156" i="3" s="1"/>
  <c r="AD31" i="4" s="1"/>
  <c r="AC137" i="3"/>
  <c r="AC153" i="3" s="1"/>
  <c r="AD28" i="4" s="1"/>
  <c r="Z10" i="12"/>
  <c r="AA3" i="12"/>
  <c r="AC82" i="4"/>
  <c r="AC73" i="4"/>
  <c r="AD53" i="4"/>
  <c r="AF78" i="4"/>
  <c r="AE108" i="4"/>
  <c r="AE128" i="4" s="1"/>
  <c r="AC109" i="3"/>
  <c r="AC125" i="3" s="1"/>
  <c r="AC106" i="3"/>
  <c r="AC122" i="3" s="1"/>
  <c r="AD21" i="4" s="1"/>
  <c r="AC116" i="3"/>
  <c r="AC132" i="3" s="1"/>
  <c r="AC115" i="3"/>
  <c r="AC131" i="3" s="1"/>
  <c r="AD27" i="4" s="1"/>
  <c r="AC108" i="3"/>
  <c r="AC124" i="3" s="1"/>
  <c r="AC112" i="3"/>
  <c r="AC128" i="3" s="1"/>
  <c r="AC113" i="3"/>
  <c r="AC129" i="3" s="1"/>
  <c r="AC110" i="3"/>
  <c r="AC126" i="3" s="1"/>
  <c r="AD23" i="4" s="1"/>
  <c r="AC105" i="3"/>
  <c r="AC121" i="3" s="1"/>
  <c r="AD20" i="4" s="1"/>
  <c r="AC114" i="3"/>
  <c r="AC130" i="3" s="1"/>
  <c r="AD26" i="4" s="1"/>
  <c r="AC107" i="3"/>
  <c r="AC123" i="3" s="1"/>
  <c r="AD22" i="4" s="1"/>
  <c r="AC104" i="3"/>
  <c r="AC120" i="3" s="1"/>
  <c r="AD19" i="4" s="1"/>
  <c r="AC111" i="3"/>
  <c r="AC127" i="3" s="1"/>
  <c r="AD24" i="4" s="1"/>
  <c r="AC117" i="3"/>
  <c r="AC67" i="4"/>
  <c r="AC88" i="4"/>
  <c r="AA4" i="12"/>
  <c r="Z11" i="12"/>
  <c r="AF85" i="4"/>
  <c r="AE100" i="4"/>
  <c r="AE136" i="4" s="1"/>
  <c r="AB43" i="4"/>
  <c r="AB102" i="4"/>
  <c r="AA132" i="4"/>
  <c r="AC40" i="4"/>
  <c r="Z9" i="12"/>
  <c r="AA2" i="12"/>
  <c r="AC65" i="4"/>
  <c r="AC137" i="4"/>
  <c r="AC126" i="4"/>
  <c r="AB166" i="3"/>
  <c r="AC34" i="4"/>
  <c r="AC87" i="4" s="1"/>
  <c r="AF4" i="4"/>
  <c r="AE70" i="3"/>
  <c r="AE6" i="4"/>
  <c r="AD136" i="3"/>
  <c r="AF18" i="2"/>
  <c r="AC49" i="3"/>
  <c r="AC38" i="3"/>
  <c r="AC48" i="3"/>
  <c r="AC50" i="3"/>
  <c r="AC51" i="3"/>
  <c r="AC45" i="3"/>
  <c r="AC40" i="3"/>
  <c r="AC42" i="3"/>
  <c r="AC46" i="3"/>
  <c r="AC39" i="3"/>
  <c r="AC44" i="3"/>
  <c r="AC43" i="3"/>
  <c r="AC47" i="3"/>
  <c r="AC41" i="3"/>
  <c r="AC57" i="4"/>
  <c r="AD16" i="4"/>
  <c r="AC100" i="3"/>
  <c r="AB43" i="3"/>
  <c r="AB59" i="3" s="1"/>
  <c r="AB38" i="3"/>
  <c r="AB54" i="3" s="1"/>
  <c r="AB47" i="3"/>
  <c r="AB63" i="3" s="1"/>
  <c r="AB48" i="3"/>
  <c r="AB64" i="3" s="1"/>
  <c r="AB45" i="3"/>
  <c r="AB61" i="3" s="1"/>
  <c r="AB40" i="3"/>
  <c r="AB56" i="3" s="1"/>
  <c r="AB46" i="3"/>
  <c r="AB62" i="3" s="1"/>
  <c r="AB51" i="3"/>
  <c r="AB67" i="3" s="1"/>
  <c r="AB41" i="3"/>
  <c r="AB57" i="3" s="1"/>
  <c r="AB49" i="3"/>
  <c r="AB65" i="3" s="1"/>
  <c r="AB44" i="3"/>
  <c r="AB60" i="3" s="1"/>
  <c r="AB50" i="3"/>
  <c r="AB66" i="3" s="1"/>
  <c r="AB39" i="3"/>
  <c r="AB55" i="3" s="1"/>
  <c r="AB42" i="3"/>
  <c r="AB58" i="3" s="1"/>
  <c r="AD17" i="4"/>
  <c r="AC44" i="4"/>
  <c r="AC58" i="4"/>
  <c r="AE5" i="4"/>
  <c r="AD103" i="3"/>
  <c r="AF17" i="2"/>
  <c r="AC25" i="4"/>
  <c r="AC72" i="4" s="1"/>
  <c r="AB133" i="3"/>
  <c r="AF55" i="5"/>
  <c r="AG51" i="5"/>
  <c r="AD71" i="3"/>
  <c r="AD87" i="3" s="1"/>
  <c r="AE10" i="4" s="1"/>
  <c r="AD81" i="3"/>
  <c r="AD97" i="3" s="1"/>
  <c r="AD75" i="3"/>
  <c r="AD91" i="3" s="1"/>
  <c r="AD78" i="3"/>
  <c r="AD94" i="3" s="1"/>
  <c r="AE15" i="4" s="1"/>
  <c r="AD72" i="3"/>
  <c r="AD88" i="3" s="1"/>
  <c r="AE11" i="4" s="1"/>
  <c r="AD84" i="3"/>
  <c r="AD83" i="3"/>
  <c r="AD99" i="3" s="1"/>
  <c r="AD77" i="3"/>
  <c r="AD93" i="3" s="1"/>
  <c r="AE14" i="4" s="1"/>
  <c r="AD80" i="3"/>
  <c r="AD96" i="3" s="1"/>
  <c r="AD74" i="3"/>
  <c r="AD90" i="3" s="1"/>
  <c r="AE13" i="4" s="1"/>
  <c r="AD76" i="3"/>
  <c r="AD92" i="3" s="1"/>
  <c r="AD82" i="3"/>
  <c r="AD98" i="3" s="1"/>
  <c r="AE18" i="4" s="1"/>
  <c r="AD73" i="3"/>
  <c r="AD89" i="3" s="1"/>
  <c r="AE12" i="4" s="1"/>
  <c r="AD79" i="3"/>
  <c r="AD95" i="3" s="1"/>
  <c r="AF107" i="4"/>
  <c r="AF127" i="4" s="1"/>
  <c r="AG62" i="4"/>
  <c r="AC38" i="4"/>
  <c r="AC104" i="4" l="1"/>
  <c r="AC135" i="4" s="1"/>
  <c r="AC95" i="4"/>
  <c r="AB121" i="4"/>
  <c r="AC97" i="4"/>
  <c r="AB122" i="4"/>
  <c r="AB133" i="4"/>
  <c r="AE20" i="2"/>
  <c r="AC96" i="4"/>
  <c r="AD106" i="4"/>
  <c r="AD126" i="4" s="1"/>
  <c r="AB110" i="4"/>
  <c r="AB115" i="4" s="1"/>
  <c r="AB120" i="4"/>
  <c r="AE7" i="4"/>
  <c r="AC67" i="3"/>
  <c r="AB124" i="4"/>
  <c r="AD19" i="3"/>
  <c r="AD39" i="3" s="1"/>
  <c r="AD55" i="3" s="1"/>
  <c r="AE106" i="4"/>
  <c r="AC55" i="3"/>
  <c r="AC54" i="3"/>
  <c r="AC65" i="3"/>
  <c r="AC94" i="4"/>
  <c r="AC99" i="4"/>
  <c r="AC57" i="3"/>
  <c r="AC98" i="4"/>
  <c r="AD80" i="4"/>
  <c r="AE59" i="4"/>
  <c r="AD67" i="4"/>
  <c r="AD40" i="4"/>
  <c r="AD73" i="4"/>
  <c r="AD38" i="4"/>
  <c r="AD69" i="4"/>
  <c r="AD42" i="4"/>
  <c r="AE54" i="4"/>
  <c r="AD84" i="4"/>
  <c r="AD68" i="4"/>
  <c r="AD41" i="4"/>
  <c r="AE53" i="4"/>
  <c r="AD83" i="4"/>
  <c r="AE51" i="4"/>
  <c r="AD64" i="4"/>
  <c r="AD37" i="4"/>
  <c r="AD74" i="4"/>
  <c r="AD45" i="4"/>
  <c r="AD82" i="4"/>
  <c r="AD89" i="4"/>
  <c r="AD44" i="4"/>
  <c r="AD58" i="4"/>
  <c r="AE17" i="4"/>
  <c r="AB4" i="12"/>
  <c r="AA11" i="12"/>
  <c r="AA10" i="12"/>
  <c r="AB3" i="12"/>
  <c r="AD66" i="4"/>
  <c r="AC62" i="3"/>
  <c r="AE84" i="3"/>
  <c r="AE81" i="3"/>
  <c r="AE76" i="3"/>
  <c r="AE71" i="3"/>
  <c r="AE82" i="3"/>
  <c r="AE74" i="3"/>
  <c r="AE80" i="3"/>
  <c r="AE72" i="3"/>
  <c r="AE73" i="3"/>
  <c r="AE78" i="3"/>
  <c r="AE79" i="3"/>
  <c r="AE77" i="3"/>
  <c r="AE83" i="3"/>
  <c r="AE75" i="3"/>
  <c r="AC102" i="4"/>
  <c r="AC58" i="3"/>
  <c r="AD110" i="3"/>
  <c r="AD126" i="3" s="1"/>
  <c r="AE23" i="4" s="1"/>
  <c r="AD104" i="3"/>
  <c r="AD120" i="3" s="1"/>
  <c r="AE19" i="4" s="1"/>
  <c r="AD107" i="3"/>
  <c r="AD123" i="3" s="1"/>
  <c r="AE22" i="4" s="1"/>
  <c r="AD108" i="3"/>
  <c r="AD124" i="3" s="1"/>
  <c r="AD105" i="3"/>
  <c r="AD121" i="3" s="1"/>
  <c r="AE20" i="4" s="1"/>
  <c r="AD106" i="3"/>
  <c r="AD122" i="3" s="1"/>
  <c r="AE21" i="4" s="1"/>
  <c r="AD114" i="3"/>
  <c r="AD130" i="3" s="1"/>
  <c r="AE26" i="4" s="1"/>
  <c r="AD116" i="3"/>
  <c r="AD132" i="3" s="1"/>
  <c r="AD113" i="3"/>
  <c r="AD129" i="3" s="1"/>
  <c r="AD111" i="3"/>
  <c r="AD127" i="3" s="1"/>
  <c r="AE24" i="4" s="1"/>
  <c r="AD117" i="3"/>
  <c r="AD109" i="3"/>
  <c r="AD125" i="3" s="1"/>
  <c r="AD115" i="3"/>
  <c r="AD131" i="3" s="1"/>
  <c r="AE27" i="4" s="1"/>
  <c r="AD112" i="3"/>
  <c r="AD128" i="3" s="1"/>
  <c r="AF6" i="4"/>
  <c r="AE136" i="3"/>
  <c r="AB132" i="4"/>
  <c r="AD81" i="4"/>
  <c r="AD57" i="4"/>
  <c r="AE50" i="4"/>
  <c r="AE49" i="4"/>
  <c r="AA9" i="12"/>
  <c r="AB2" i="12"/>
  <c r="AC43" i="4"/>
  <c r="AC56" i="3"/>
  <c r="AD142" i="3"/>
  <c r="AD158" i="3" s="1"/>
  <c r="AD147" i="3"/>
  <c r="AD163" i="3" s="1"/>
  <c r="AE35" i="4" s="1"/>
  <c r="AD141" i="3"/>
  <c r="AD157" i="3" s="1"/>
  <c r="AD138" i="3"/>
  <c r="AD154" i="3" s="1"/>
  <c r="AE29" i="4" s="1"/>
  <c r="AD137" i="3"/>
  <c r="AD153" i="3" s="1"/>
  <c r="AE28" i="4" s="1"/>
  <c r="AD144" i="3"/>
  <c r="AD160" i="3" s="1"/>
  <c r="AE33" i="4" s="1"/>
  <c r="AD139" i="3"/>
  <c r="AD155" i="3" s="1"/>
  <c r="AE30" i="4" s="1"/>
  <c r="AD149" i="3"/>
  <c r="AD165" i="3" s="1"/>
  <c r="AD146" i="3"/>
  <c r="AD162" i="3" s="1"/>
  <c r="AD140" i="3"/>
  <c r="AD156" i="3" s="1"/>
  <c r="AE31" i="4" s="1"/>
  <c r="AD143" i="3"/>
  <c r="AD159" i="3" s="1"/>
  <c r="AE32" i="4" s="1"/>
  <c r="AD145" i="3"/>
  <c r="AD161" i="3" s="1"/>
  <c r="AD150" i="3"/>
  <c r="AD148" i="3"/>
  <c r="AD164" i="3" s="1"/>
  <c r="AE36" i="4" s="1"/>
  <c r="AD34" i="4"/>
  <c r="AD87" i="4" s="1"/>
  <c r="AC166" i="3"/>
  <c r="AD79" i="4"/>
  <c r="AF5" i="4"/>
  <c r="AE103" i="3"/>
  <c r="AD88" i="4"/>
  <c r="AC61" i="3"/>
  <c r="AC63" i="3"/>
  <c r="AG78" i="4"/>
  <c r="AF108" i="4"/>
  <c r="AF128" i="4" s="1"/>
  <c r="AE16" i="4"/>
  <c r="AD100" i="3"/>
  <c r="AD65" i="4"/>
  <c r="AE52" i="4"/>
  <c r="AC103" i="4"/>
  <c r="AC134" i="4" s="1"/>
  <c r="AC59" i="3"/>
  <c r="AC66" i="3"/>
  <c r="AD25" i="4"/>
  <c r="AD72" i="4" s="1"/>
  <c r="AC133" i="3"/>
  <c r="AG107" i="4"/>
  <c r="AH62" i="4"/>
  <c r="AG55" i="5"/>
  <c r="AH51" i="5"/>
  <c r="AC60" i="3"/>
  <c r="AC64" i="3"/>
  <c r="AF19" i="2"/>
  <c r="AG85" i="4"/>
  <c r="AF100" i="4"/>
  <c r="AF136" i="4" s="1"/>
  <c r="AD39" i="4"/>
  <c r="AC120" i="4" l="1"/>
  <c r="AC121" i="4"/>
  <c r="AC122" i="4"/>
  <c r="C11" i="27"/>
  <c r="P22" i="17"/>
  <c r="O21" i="17"/>
  <c r="C8" i="23"/>
  <c r="D2" i="25"/>
  <c r="C8" i="22"/>
  <c r="P20" i="17"/>
  <c r="P25" i="27"/>
  <c r="N21" i="17"/>
  <c r="R21" i="17" s="1"/>
  <c r="N22" i="17"/>
  <c r="N20" i="17"/>
  <c r="P26" i="27"/>
  <c r="P27" i="27"/>
  <c r="O20" i="17"/>
  <c r="O22" i="17"/>
  <c r="P21" i="17"/>
  <c r="AC133" i="4"/>
  <c r="AD48" i="3"/>
  <c r="AD64" i="3" s="1"/>
  <c r="AD46" i="3"/>
  <c r="AD62" i="3" s="1"/>
  <c r="AD47" i="3"/>
  <c r="AD63" i="3" s="1"/>
  <c r="AD137" i="4"/>
  <c r="AD43" i="4"/>
  <c r="AD43" i="3"/>
  <c r="AD59" i="3" s="1"/>
  <c r="AC110" i="4"/>
  <c r="AC115" i="4" s="1"/>
  <c r="AD98" i="4"/>
  <c r="AE126" i="4"/>
  <c r="AE137" i="4"/>
  <c r="AD51" i="3"/>
  <c r="AD67" i="3" s="1"/>
  <c r="AD50" i="3"/>
  <c r="AD66" i="3" s="1"/>
  <c r="AD104" i="4"/>
  <c r="AD135" i="4" s="1"/>
  <c r="AD42" i="3"/>
  <c r="AD58" i="3" s="1"/>
  <c r="AD44" i="3"/>
  <c r="AD60" i="3" s="1"/>
  <c r="AD38" i="3"/>
  <c r="AD54" i="3" s="1"/>
  <c r="AD40" i="3"/>
  <c r="AD56" i="3" s="1"/>
  <c r="AD45" i="3"/>
  <c r="AD61" i="3" s="1"/>
  <c r="AD41" i="3"/>
  <c r="AD57" i="3" s="1"/>
  <c r="AD49" i="3"/>
  <c r="AD65" i="3" s="1"/>
  <c r="AD97" i="4"/>
  <c r="AD102" i="4"/>
  <c r="AD96" i="4"/>
  <c r="AD99" i="4"/>
  <c r="AD95" i="4"/>
  <c r="AE40" i="4"/>
  <c r="AC124" i="4"/>
  <c r="AD103" i="4"/>
  <c r="AD134" i="4" s="1"/>
  <c r="AD94" i="4"/>
  <c r="AE64" i="4"/>
  <c r="AE37" i="4"/>
  <c r="AE68" i="4"/>
  <c r="AE41" i="4"/>
  <c r="AE74" i="4"/>
  <c r="AE45" i="4"/>
  <c r="AE69" i="4"/>
  <c r="AE42" i="4"/>
  <c r="AE84" i="4"/>
  <c r="AE89" i="4"/>
  <c r="AE79" i="4"/>
  <c r="AE80" i="4"/>
  <c r="AE83" i="4"/>
  <c r="AE66" i="4"/>
  <c r="AE39" i="4"/>
  <c r="AE88" i="4"/>
  <c r="AE65" i="4"/>
  <c r="AE38" i="4"/>
  <c r="AE25" i="4"/>
  <c r="AE72" i="4" s="1"/>
  <c r="AD133" i="3"/>
  <c r="AE99" i="3"/>
  <c r="AF99" i="3"/>
  <c r="AE98" i="3"/>
  <c r="AF18" i="4" s="1"/>
  <c r="AF98" i="3"/>
  <c r="AE19" i="3"/>
  <c r="AF20" i="2"/>
  <c r="AF7" i="4"/>
  <c r="AG20" i="2"/>
  <c r="AE93" i="3"/>
  <c r="AF14" i="4" s="1"/>
  <c r="AF93" i="3"/>
  <c r="AE87" i="3"/>
  <c r="AF10" i="4" s="1"/>
  <c r="AF87" i="3"/>
  <c r="AC132" i="4"/>
  <c r="AE88" i="3"/>
  <c r="AF11" i="4" s="1"/>
  <c r="AF88" i="3"/>
  <c r="AC4" i="12"/>
  <c r="AB11" i="12"/>
  <c r="AG127" i="4"/>
  <c r="AH107" i="4"/>
  <c r="AE96" i="3"/>
  <c r="AF96" i="3"/>
  <c r="AE82" i="4"/>
  <c r="AH85" i="4"/>
  <c r="AG100" i="4"/>
  <c r="AH78" i="4"/>
  <c r="AG108" i="4"/>
  <c r="AG137" i="4" s="1"/>
  <c r="AE91" i="3"/>
  <c r="AF91" i="3"/>
  <c r="AE90" i="3"/>
  <c r="AF13" i="4" s="1"/>
  <c r="AF90" i="3"/>
  <c r="AE137" i="3"/>
  <c r="AE143" i="3"/>
  <c r="AE148" i="3"/>
  <c r="AE146" i="3"/>
  <c r="AE150" i="3"/>
  <c r="AE142" i="3"/>
  <c r="AE147" i="3"/>
  <c r="AE139" i="3"/>
  <c r="AE138" i="3"/>
  <c r="AE140" i="3"/>
  <c r="AE141" i="3"/>
  <c r="AE144" i="3"/>
  <c r="AE145" i="3"/>
  <c r="AE149" i="3"/>
  <c r="AE92" i="3"/>
  <c r="AF92" i="3"/>
  <c r="AH55" i="5"/>
  <c r="AG57" i="4"/>
  <c r="V17" i="27" s="1"/>
  <c r="AG87" i="4"/>
  <c r="AG72" i="4"/>
  <c r="AE94" i="3"/>
  <c r="AF15" i="4" s="1"/>
  <c r="AF94" i="3"/>
  <c r="AE97" i="3"/>
  <c r="AF17" i="4" s="1"/>
  <c r="AF97" i="3"/>
  <c r="AE73" i="4"/>
  <c r="AE57" i="4"/>
  <c r="AC2" i="12"/>
  <c r="AB9" i="12"/>
  <c r="AE34" i="4"/>
  <c r="AE87" i="4" s="1"/>
  <c r="AD166" i="3"/>
  <c r="AE58" i="4"/>
  <c r="AE44" i="4"/>
  <c r="AE67" i="4"/>
  <c r="AE81" i="4"/>
  <c r="AE95" i="3"/>
  <c r="AF95" i="3"/>
  <c r="AB10" i="12"/>
  <c r="AC3" i="12"/>
  <c r="AE111" i="3"/>
  <c r="AE108" i="3"/>
  <c r="AE104" i="3"/>
  <c r="AE113" i="3"/>
  <c r="AE117" i="3"/>
  <c r="AE116" i="3"/>
  <c r="AE109" i="3"/>
  <c r="AE114" i="3"/>
  <c r="AE106" i="3"/>
  <c r="AE115" i="3"/>
  <c r="AE107" i="3"/>
  <c r="AE105" i="3"/>
  <c r="AE110" i="3"/>
  <c r="AE112" i="3"/>
  <c r="AE89" i="3"/>
  <c r="AF12" i="4" s="1"/>
  <c r="AF89" i="3"/>
  <c r="AE100" i="3"/>
  <c r="AF16" i="4"/>
  <c r="AF100" i="3"/>
  <c r="G13" i="25" l="1"/>
  <c r="G14" i="25"/>
  <c r="I14" i="25" s="1"/>
  <c r="AH72" i="4"/>
  <c r="V18" i="27"/>
  <c r="I13" i="23"/>
  <c r="I19" i="23"/>
  <c r="K19" i="23" s="1"/>
  <c r="R20" i="17"/>
  <c r="R22" i="17"/>
  <c r="Q7" i="30" s="1"/>
  <c r="O27" i="27"/>
  <c r="O26" i="27"/>
  <c r="N26" i="27"/>
  <c r="N25" i="27"/>
  <c r="N27" i="27"/>
  <c r="R27" i="27" s="1"/>
  <c r="Q60" i="30" s="1"/>
  <c r="O25" i="27"/>
  <c r="AH87" i="4"/>
  <c r="V19" i="27"/>
  <c r="AA19" i="27" s="1"/>
  <c r="AD133" i="4"/>
  <c r="AD122" i="4"/>
  <c r="AE99" i="4"/>
  <c r="AD110" i="4"/>
  <c r="AD115" i="4" s="1"/>
  <c r="AD121" i="4"/>
  <c r="AE95" i="4"/>
  <c r="AE104" i="4"/>
  <c r="AE135" i="4" s="1"/>
  <c r="AE94" i="4"/>
  <c r="AD120" i="4"/>
  <c r="AE97" i="4"/>
  <c r="AF106" i="4"/>
  <c r="AF126" i="4" s="1"/>
  <c r="AE96" i="4"/>
  <c r="AD132" i="4"/>
  <c r="AE43" i="4"/>
  <c r="AD124" i="4"/>
  <c r="AE102" i="4"/>
  <c r="AE98" i="4"/>
  <c r="AF34" i="4"/>
  <c r="AF87" i="4" s="1"/>
  <c r="AE166" i="3"/>
  <c r="AF166" i="3"/>
  <c r="AE162" i="3"/>
  <c r="AF162" i="3"/>
  <c r="AC9" i="12"/>
  <c r="AD2" i="12"/>
  <c r="AF50" i="4"/>
  <c r="AG11" i="4"/>
  <c r="AE128" i="3"/>
  <c r="AF128" i="3"/>
  <c r="AE156" i="3"/>
  <c r="AF31" i="4" s="1"/>
  <c r="AF156" i="3"/>
  <c r="AE153" i="3"/>
  <c r="AF28" i="4" s="1"/>
  <c r="AF153" i="3"/>
  <c r="AF49" i="4"/>
  <c r="AG10" i="4"/>
  <c r="AF54" i="4"/>
  <c r="AG15" i="4"/>
  <c r="AE160" i="3"/>
  <c r="AF33" i="4" s="1"/>
  <c r="AF160" i="3"/>
  <c r="AE125" i="3"/>
  <c r="AF125" i="3"/>
  <c r="AF58" i="4"/>
  <c r="AG17" i="4"/>
  <c r="F17" i="27" s="1"/>
  <c r="AE164" i="3"/>
  <c r="AF36" i="4" s="1"/>
  <c r="AF164" i="3"/>
  <c r="AE132" i="3"/>
  <c r="AF132" i="3"/>
  <c r="AE103" i="4"/>
  <c r="AE134" i="4" s="1"/>
  <c r="AE155" i="3"/>
  <c r="AF30" i="4" s="1"/>
  <c r="AF155" i="3"/>
  <c r="AE51" i="3"/>
  <c r="AE40" i="3"/>
  <c r="AE45" i="3"/>
  <c r="AE46" i="3"/>
  <c r="AE50" i="3"/>
  <c r="AE47" i="3"/>
  <c r="AE43" i="3"/>
  <c r="AE41" i="3"/>
  <c r="AE49" i="3"/>
  <c r="AE38" i="3"/>
  <c r="AE39" i="3"/>
  <c r="AE48" i="3"/>
  <c r="AE44" i="3"/>
  <c r="AE42" i="3"/>
  <c r="AE122" i="3"/>
  <c r="AF21" i="4" s="1"/>
  <c r="AF122" i="3"/>
  <c r="AH57" i="4"/>
  <c r="AG102" i="4"/>
  <c r="AE159" i="3"/>
  <c r="AF32" i="4" s="1"/>
  <c r="AF159" i="3"/>
  <c r="AE133" i="3"/>
  <c r="AF25" i="4"/>
  <c r="AF72" i="4" s="1"/>
  <c r="AF133" i="3"/>
  <c r="AE154" i="3"/>
  <c r="AF29" i="4" s="1"/>
  <c r="AF154" i="3"/>
  <c r="AE121" i="3"/>
  <c r="AF20" i="4" s="1"/>
  <c r="AF121" i="3"/>
  <c r="AE120" i="3"/>
  <c r="AF19" i="4" s="1"/>
  <c r="AF120" i="3"/>
  <c r="AE163" i="3"/>
  <c r="AF35" i="4" s="1"/>
  <c r="AF163" i="3"/>
  <c r="AF51" i="4"/>
  <c r="AG12" i="4"/>
  <c r="AE127" i="3"/>
  <c r="AF24" i="4" s="1"/>
  <c r="AF127" i="3"/>
  <c r="AE161" i="3"/>
  <c r="AF161" i="3"/>
  <c r="AE130" i="3"/>
  <c r="AF26" i="4" s="1"/>
  <c r="AF130" i="3"/>
  <c r="AG128" i="4"/>
  <c r="AH108" i="4"/>
  <c r="AC10" i="12"/>
  <c r="AD3" i="12"/>
  <c r="AE157" i="3"/>
  <c r="AF157" i="3"/>
  <c r="AF59" i="4"/>
  <c r="AG18" i="4"/>
  <c r="L17" i="27" s="1"/>
  <c r="M17" i="27" s="1"/>
  <c r="AH100" i="4"/>
  <c r="AG136" i="4"/>
  <c r="AE126" i="3"/>
  <c r="AF23" i="4" s="1"/>
  <c r="AF126" i="3"/>
  <c r="AF57" i="4"/>
  <c r="AE129" i="3"/>
  <c r="AF129" i="3"/>
  <c r="AE123" i="3"/>
  <c r="AF22" i="4" s="1"/>
  <c r="AF123" i="3"/>
  <c r="AF52" i="4"/>
  <c r="AG13" i="4"/>
  <c r="AF53" i="4"/>
  <c r="AG14" i="4"/>
  <c r="AE131" i="3"/>
  <c r="AF27" i="4" s="1"/>
  <c r="AF131" i="3"/>
  <c r="AE124" i="3"/>
  <c r="AF124" i="3"/>
  <c r="AE165" i="3"/>
  <c r="AF165" i="3"/>
  <c r="AE158" i="3"/>
  <c r="AF158" i="3"/>
  <c r="AD4" i="12"/>
  <c r="AC11" i="12"/>
  <c r="AA17" i="27" l="1"/>
  <c r="R26" i="27"/>
  <c r="AE120" i="4"/>
  <c r="R25" i="27"/>
  <c r="K13" i="23"/>
  <c r="I24" i="23"/>
  <c r="AA18" i="27"/>
  <c r="AF137" i="4"/>
  <c r="I13" i="25"/>
  <c r="G16" i="25"/>
  <c r="I16" i="25" s="1"/>
  <c r="Q43" i="30" s="1"/>
  <c r="F14" i="18"/>
  <c r="AE122" i="4"/>
  <c r="AE133" i="4"/>
  <c r="AE121" i="4"/>
  <c r="AF40" i="4"/>
  <c r="AF37" i="4"/>
  <c r="AF38" i="4"/>
  <c r="AF42" i="4"/>
  <c r="AE110" i="4"/>
  <c r="AE115" i="4" s="1"/>
  <c r="AF102" i="4"/>
  <c r="AE132" i="4"/>
  <c r="AE58" i="3"/>
  <c r="AF58" i="3"/>
  <c r="AF68" i="4"/>
  <c r="AG23" i="4"/>
  <c r="AE60" i="3"/>
  <c r="AF60" i="3"/>
  <c r="AG32" i="4"/>
  <c r="AF83" i="4"/>
  <c r="AE59" i="3"/>
  <c r="AF59" i="3"/>
  <c r="AF67" i="4"/>
  <c r="AG22" i="4"/>
  <c r="AF84" i="4"/>
  <c r="AG33" i="4"/>
  <c r="AF88" i="4"/>
  <c r="AG35" i="4"/>
  <c r="F21" i="27" s="1"/>
  <c r="AE64" i="3"/>
  <c r="AF64" i="3"/>
  <c r="AE4" i="12"/>
  <c r="AE11" i="12" s="1"/>
  <c r="AD11" i="12"/>
  <c r="AG51" i="4"/>
  <c r="AH12" i="4"/>
  <c r="AE55" i="3"/>
  <c r="AF55" i="3"/>
  <c r="AG59" i="4"/>
  <c r="U17" i="27" s="1"/>
  <c r="Z17" i="27" s="1"/>
  <c r="AH18" i="4"/>
  <c r="AE56" i="3"/>
  <c r="AF56" i="3"/>
  <c r="AF89" i="4"/>
  <c r="AG36" i="4"/>
  <c r="L19" i="27" s="1"/>
  <c r="M19" i="27" s="1"/>
  <c r="AG54" i="4"/>
  <c r="AH15" i="4"/>
  <c r="AG52" i="4"/>
  <c r="AH13" i="4"/>
  <c r="AF66" i="4"/>
  <c r="AG21" i="4"/>
  <c r="AH10" i="4"/>
  <c r="AG49" i="4"/>
  <c r="AD10" i="12"/>
  <c r="AE3" i="12"/>
  <c r="AE10" i="12" s="1"/>
  <c r="AE62" i="3"/>
  <c r="AF62" i="3"/>
  <c r="AG27" i="4"/>
  <c r="L18" i="27" s="1"/>
  <c r="M18" i="27" s="1"/>
  <c r="AF74" i="4"/>
  <c r="AG20" i="4"/>
  <c r="AF65" i="4"/>
  <c r="AF79" i="4"/>
  <c r="AG28" i="4"/>
  <c r="AF80" i="4"/>
  <c r="AG29" i="4"/>
  <c r="AE124" i="4"/>
  <c r="AE65" i="3"/>
  <c r="AF65" i="3"/>
  <c r="AE67" i="3"/>
  <c r="AF67" i="3"/>
  <c r="AG58" i="4"/>
  <c r="T17" i="27" s="1"/>
  <c r="AH17" i="4"/>
  <c r="AG31" i="4"/>
  <c r="AF82" i="4"/>
  <c r="AF81" i="4"/>
  <c r="AG30" i="4"/>
  <c r="AE63" i="3"/>
  <c r="AF63" i="3"/>
  <c r="AG50" i="4"/>
  <c r="AH11" i="4"/>
  <c r="AG19" i="4"/>
  <c r="AF64" i="4"/>
  <c r="AE66" i="3"/>
  <c r="AF66" i="3"/>
  <c r="AF69" i="4"/>
  <c r="AG24" i="4"/>
  <c r="AH102" i="4"/>
  <c r="AE61" i="3"/>
  <c r="AF61" i="3"/>
  <c r="AD9" i="12"/>
  <c r="AE2" i="12"/>
  <c r="AE9" i="12" s="1"/>
  <c r="AF41" i="4"/>
  <c r="AF39" i="4"/>
  <c r="AE54" i="3"/>
  <c r="AF54" i="3"/>
  <c r="AG53" i="4"/>
  <c r="AH14" i="4"/>
  <c r="AF45" i="4"/>
  <c r="AF43" i="4"/>
  <c r="AG26" i="4"/>
  <c r="F19" i="27" s="1"/>
  <c r="AF73" i="4"/>
  <c r="AE57" i="3"/>
  <c r="AF57" i="3"/>
  <c r="AF44" i="4"/>
  <c r="K24" i="23" l="1"/>
  <c r="Q33" i="30" s="1"/>
  <c r="K25" i="23"/>
  <c r="F15" i="18"/>
  <c r="G15" i="18" s="1"/>
  <c r="I15" i="18" s="1"/>
  <c r="W17" i="27"/>
  <c r="Y17" i="27"/>
  <c r="AB17" i="27" s="1"/>
  <c r="F16" i="18"/>
  <c r="G14" i="18"/>
  <c r="I14" i="18" s="1"/>
  <c r="AG42" i="4"/>
  <c r="AH42" i="4" s="1"/>
  <c r="AF103" i="4"/>
  <c r="AF134" i="4" s="1"/>
  <c r="AG41" i="4"/>
  <c r="AH41" i="4" s="1"/>
  <c r="AG45" i="4"/>
  <c r="AH45" i="4" s="1"/>
  <c r="AF98" i="4"/>
  <c r="AG37" i="4"/>
  <c r="AH37" i="4" s="1"/>
  <c r="AF97" i="4"/>
  <c r="AF104" i="4"/>
  <c r="AF135" i="4" s="1"/>
  <c r="AF99" i="4"/>
  <c r="AF95" i="4"/>
  <c r="AF96" i="4"/>
  <c r="AF94" i="4"/>
  <c r="AH53" i="4"/>
  <c r="AH49" i="4"/>
  <c r="AG67" i="4"/>
  <c r="AH67" i="4" s="1"/>
  <c r="AH22" i="4"/>
  <c r="AH26" i="4"/>
  <c r="AG73" i="4"/>
  <c r="AH54" i="4"/>
  <c r="AH27" i="4"/>
  <c r="AG74" i="4"/>
  <c r="AG69" i="4"/>
  <c r="AH69" i="4" s="1"/>
  <c r="AH24" i="4"/>
  <c r="AG89" i="4"/>
  <c r="AH36" i="4"/>
  <c r="AH20" i="4"/>
  <c r="AG65" i="4"/>
  <c r="AH65" i="4" s="1"/>
  <c r="AG38" i="4"/>
  <c r="AH38" i="4" s="1"/>
  <c r="AG88" i="4"/>
  <c r="AH35" i="4"/>
  <c r="AH52" i="4"/>
  <c r="AH19" i="4"/>
  <c r="AG64" i="4"/>
  <c r="AH64" i="4" s="1"/>
  <c r="AH59" i="4"/>
  <c r="AG44" i="4"/>
  <c r="AH44" i="4" s="1"/>
  <c r="AH21" i="4"/>
  <c r="AG66" i="4"/>
  <c r="AH66" i="4" s="1"/>
  <c r="E16" i="22"/>
  <c r="E15" i="22"/>
  <c r="E17" i="22"/>
  <c r="E14" i="22"/>
  <c r="AH51" i="4"/>
  <c r="E19" i="22"/>
  <c r="E20" i="22"/>
  <c r="E21" i="22"/>
  <c r="E18" i="22"/>
  <c r="AH31" i="4"/>
  <c r="AG82" i="4"/>
  <c r="AH82" i="4" s="1"/>
  <c r="AG68" i="4"/>
  <c r="AH68" i="4" s="1"/>
  <c r="AH23" i="4"/>
  <c r="AG80" i="4"/>
  <c r="AH80" i="4" s="1"/>
  <c r="AH29" i="4"/>
  <c r="AH50" i="4"/>
  <c r="AH58" i="4"/>
  <c r="E12" i="22"/>
  <c r="E11" i="22"/>
  <c r="E13" i="22"/>
  <c r="E10" i="22"/>
  <c r="AG79" i="4"/>
  <c r="AH79" i="4" s="1"/>
  <c r="AH28" i="4"/>
  <c r="AG81" i="4"/>
  <c r="AH81" i="4" s="1"/>
  <c r="AH30" i="4"/>
  <c r="AG40" i="4"/>
  <c r="AH40" i="4" s="1"/>
  <c r="AG39" i="4"/>
  <c r="AH39" i="4" s="1"/>
  <c r="AH33" i="4"/>
  <c r="AG84" i="4"/>
  <c r="AH84" i="4" s="1"/>
  <c r="AG83" i="4"/>
  <c r="AH83" i="4" s="1"/>
  <c r="AH32" i="4"/>
  <c r="AH73" i="4" l="1"/>
  <c r="T18" i="27"/>
  <c r="AH89" i="4"/>
  <c r="U19" i="27"/>
  <c r="Z19" i="27" s="1"/>
  <c r="G16" i="18"/>
  <c r="I20" i="18" s="1"/>
  <c r="AH88" i="4"/>
  <c r="T19" i="27"/>
  <c r="AH74" i="4"/>
  <c r="U18" i="27"/>
  <c r="Z18" i="27" s="1"/>
  <c r="AF132" i="4"/>
  <c r="AF120" i="4"/>
  <c r="AF122" i="4"/>
  <c r="AF124" i="4"/>
  <c r="AF133" i="4"/>
  <c r="AG103" i="4"/>
  <c r="AH103" i="4" s="1"/>
  <c r="AF110" i="4"/>
  <c r="AF115" i="4" s="1"/>
  <c r="AF121" i="4"/>
  <c r="AG95" i="4"/>
  <c r="AH95" i="4" s="1"/>
  <c r="AG98" i="4"/>
  <c r="AH98" i="4" s="1"/>
  <c r="AG99" i="4"/>
  <c r="AH99" i="4" s="1"/>
  <c r="F15" i="22"/>
  <c r="AD48" i="22"/>
  <c r="AD52" i="22"/>
  <c r="AD47" i="22"/>
  <c r="AD53" i="22"/>
  <c r="AD49" i="22"/>
  <c r="AD50" i="22"/>
  <c r="AD51" i="22"/>
  <c r="X50" i="22"/>
  <c r="X51" i="22"/>
  <c r="X48" i="22"/>
  <c r="X52" i="22"/>
  <c r="X47" i="22"/>
  <c r="X53" i="22"/>
  <c r="X49" i="22"/>
  <c r="F21" i="22"/>
  <c r="AD91" i="22"/>
  <c r="AD89" i="22"/>
  <c r="AD92" i="22"/>
  <c r="AD95" i="22"/>
  <c r="AD93" i="22"/>
  <c r="AD90" i="22"/>
  <c r="AD94" i="22"/>
  <c r="X89" i="22"/>
  <c r="X93" i="22"/>
  <c r="X90" i="22"/>
  <c r="X95" i="22"/>
  <c r="X91" i="22"/>
  <c r="X94" i="22"/>
  <c r="X92" i="22"/>
  <c r="F16" i="22"/>
  <c r="AD59" i="22"/>
  <c r="AD60" i="22"/>
  <c r="AD57" i="22"/>
  <c r="AD58" i="22"/>
  <c r="AD54" i="22"/>
  <c r="AD56" i="22"/>
  <c r="AD55" i="22"/>
  <c r="X57" i="22"/>
  <c r="X55" i="22"/>
  <c r="X60" i="22"/>
  <c r="X54" i="22"/>
  <c r="X56" i="22"/>
  <c r="X58" i="22"/>
  <c r="X59" i="22"/>
  <c r="F20" i="22"/>
  <c r="AD83" i="22"/>
  <c r="AD85" i="22"/>
  <c r="AD87" i="22"/>
  <c r="AD82" i="22"/>
  <c r="AD84" i="22"/>
  <c r="AD88" i="22"/>
  <c r="AD86" i="22"/>
  <c r="X86" i="22"/>
  <c r="X88" i="22"/>
  <c r="X84" i="22"/>
  <c r="X82" i="22"/>
  <c r="X83" i="22"/>
  <c r="X85" i="22"/>
  <c r="X87" i="22"/>
  <c r="AG97" i="4"/>
  <c r="AH97" i="4" s="1"/>
  <c r="F18" i="22"/>
  <c r="AD71" i="22"/>
  <c r="AD74" i="22"/>
  <c r="AD70" i="22"/>
  <c r="AD72" i="22"/>
  <c r="AD68" i="22"/>
  <c r="AD69" i="22"/>
  <c r="AD73" i="22"/>
  <c r="X72" i="22"/>
  <c r="X70" i="22"/>
  <c r="X69" i="22"/>
  <c r="X74" i="22"/>
  <c r="X68" i="22"/>
  <c r="X71" i="22"/>
  <c r="X73" i="22"/>
  <c r="F13" i="22"/>
  <c r="AD36" i="22"/>
  <c r="AD39" i="22"/>
  <c r="AD38" i="22"/>
  <c r="AD34" i="22"/>
  <c r="AD35" i="22"/>
  <c r="AD37" i="22"/>
  <c r="AD33" i="22"/>
  <c r="X34" i="22"/>
  <c r="X38" i="22"/>
  <c r="X37" i="22"/>
  <c r="X33" i="22"/>
  <c r="X39" i="22"/>
  <c r="X36" i="22"/>
  <c r="X35" i="22"/>
  <c r="F19" i="22"/>
  <c r="AD78" i="22"/>
  <c r="AD77" i="22"/>
  <c r="AD80" i="22"/>
  <c r="AD76" i="22"/>
  <c r="AD79" i="22"/>
  <c r="AD81" i="22"/>
  <c r="AD75" i="22"/>
  <c r="X77" i="22"/>
  <c r="X76" i="22"/>
  <c r="X75" i="22"/>
  <c r="X78" i="22"/>
  <c r="X80" i="22"/>
  <c r="X81" i="22"/>
  <c r="X79" i="22"/>
  <c r="F11" i="22"/>
  <c r="AD19" i="22"/>
  <c r="AD24" i="22"/>
  <c r="AD21" i="22"/>
  <c r="AD20" i="22"/>
  <c r="AD23" i="22"/>
  <c r="AD22" i="22"/>
  <c r="AD25" i="22"/>
  <c r="X25" i="22"/>
  <c r="X19" i="22"/>
  <c r="X23" i="22"/>
  <c r="X22" i="22"/>
  <c r="X21" i="22"/>
  <c r="X24" i="22"/>
  <c r="X20" i="22"/>
  <c r="AG96" i="4"/>
  <c r="F10" i="22"/>
  <c r="AD13" i="22"/>
  <c r="AD15" i="22"/>
  <c r="AD14" i="22"/>
  <c r="AD17" i="22"/>
  <c r="AD16" i="22"/>
  <c r="AD18" i="22"/>
  <c r="X15" i="22"/>
  <c r="AD12" i="22"/>
  <c r="X18" i="22"/>
  <c r="X13" i="22"/>
  <c r="X14" i="22"/>
  <c r="X17" i="22"/>
  <c r="X12" i="22"/>
  <c r="X16" i="22"/>
  <c r="F12" i="22"/>
  <c r="AD27" i="22"/>
  <c r="AD31" i="22"/>
  <c r="AD32" i="22"/>
  <c r="AD26" i="22"/>
  <c r="AD29" i="22"/>
  <c r="AD30" i="22"/>
  <c r="AD28" i="22"/>
  <c r="X30" i="22"/>
  <c r="X31" i="22"/>
  <c r="X29" i="22"/>
  <c r="X32" i="22"/>
  <c r="X27" i="22"/>
  <c r="X26" i="22"/>
  <c r="X28" i="22"/>
  <c r="AG104" i="4"/>
  <c r="AG94" i="4"/>
  <c r="F17" i="22"/>
  <c r="AD65" i="22"/>
  <c r="AD62" i="22"/>
  <c r="AD66" i="22"/>
  <c r="AD61" i="22"/>
  <c r="AD67" i="22"/>
  <c r="AD63" i="22"/>
  <c r="AD64" i="22"/>
  <c r="X62" i="22"/>
  <c r="X64" i="22"/>
  <c r="X61" i="22"/>
  <c r="X65" i="22"/>
  <c r="X67" i="22"/>
  <c r="X66" i="22"/>
  <c r="X63" i="22"/>
  <c r="F14" i="22"/>
  <c r="AD41" i="22"/>
  <c r="AD43" i="22"/>
  <c r="AD42" i="22"/>
  <c r="AD45" i="22"/>
  <c r="AD44" i="22"/>
  <c r="AD40" i="22"/>
  <c r="AD46" i="22"/>
  <c r="X41" i="22"/>
  <c r="X43" i="22"/>
  <c r="X42" i="22"/>
  <c r="X40" i="22"/>
  <c r="X46" i="22"/>
  <c r="X45" i="22"/>
  <c r="X44" i="22"/>
  <c r="AG134" i="4" l="1"/>
  <c r="I16" i="18"/>
  <c r="Q20" i="30" s="1"/>
  <c r="Y19" i="27"/>
  <c r="AB19" i="27" s="1"/>
  <c r="W19" i="27"/>
  <c r="C7" i="20"/>
  <c r="C8" i="19"/>
  <c r="Y18" i="27"/>
  <c r="AB18" i="27" s="1"/>
  <c r="W18" i="27"/>
  <c r="AG124" i="4"/>
  <c r="AG133" i="4"/>
  <c r="AG122" i="4"/>
  <c r="AF62" i="22"/>
  <c r="AE62" i="22"/>
  <c r="Z80" i="22"/>
  <c r="Y80" i="22"/>
  <c r="AF85" i="22"/>
  <c r="AE85" i="22"/>
  <c r="AF65" i="22"/>
  <c r="AE65" i="22"/>
  <c r="AF19" i="22"/>
  <c r="AE19" i="22"/>
  <c r="Z78" i="22"/>
  <c r="Y78" i="22"/>
  <c r="AF80" i="22"/>
  <c r="AE80" i="22"/>
  <c r="Z37" i="22"/>
  <c r="Y37" i="22"/>
  <c r="AF39" i="22"/>
  <c r="AE39" i="22"/>
  <c r="Z70" i="22"/>
  <c r="Y70" i="22"/>
  <c r="AF71" i="22"/>
  <c r="AE71" i="22"/>
  <c r="Z88" i="22"/>
  <c r="Y88" i="22"/>
  <c r="AE83" i="22"/>
  <c r="AF83" i="22"/>
  <c r="Z57" i="22"/>
  <c r="Y57" i="22"/>
  <c r="AF94" i="22"/>
  <c r="AE94" i="22"/>
  <c r="Z49" i="22"/>
  <c r="Y49" i="22"/>
  <c r="AE50" i="22"/>
  <c r="AF50" i="22"/>
  <c r="AF46" i="22"/>
  <c r="AE46" i="22"/>
  <c r="Y23" i="22"/>
  <c r="Z23" i="22"/>
  <c r="AF38" i="22"/>
  <c r="AE38" i="22"/>
  <c r="Z55" i="22"/>
  <c r="Y55" i="22"/>
  <c r="AF31" i="22"/>
  <c r="AE31" i="22"/>
  <c r="Y45" i="22"/>
  <c r="Z45" i="22"/>
  <c r="AF44" i="22"/>
  <c r="AE44" i="22"/>
  <c r="Z62" i="22"/>
  <c r="Y62" i="22"/>
  <c r="Z31" i="22"/>
  <c r="Y31" i="22"/>
  <c r="AE27" i="22"/>
  <c r="AF27" i="22"/>
  <c r="AF12" i="22"/>
  <c r="AE12" i="22"/>
  <c r="Z25" i="22"/>
  <c r="Y25" i="22"/>
  <c r="Y75" i="22"/>
  <c r="Z75" i="22"/>
  <c r="AF77" i="22"/>
  <c r="AE77" i="22"/>
  <c r="Z38" i="22"/>
  <c r="Y38" i="22"/>
  <c r="AE36" i="22"/>
  <c r="AF36" i="22"/>
  <c r="Z72" i="22"/>
  <c r="Y72" i="22"/>
  <c r="Z86" i="22"/>
  <c r="Y86" i="22"/>
  <c r="AF55" i="22"/>
  <c r="AE55" i="22"/>
  <c r="Z92" i="22"/>
  <c r="Y92" i="22"/>
  <c r="AF90" i="22"/>
  <c r="AE90" i="22"/>
  <c r="Z53" i="22"/>
  <c r="Y53" i="22"/>
  <c r="AF49" i="22"/>
  <c r="AE49" i="22"/>
  <c r="Y13" i="22"/>
  <c r="Z13" i="22"/>
  <c r="AE74" i="22"/>
  <c r="AF74" i="22"/>
  <c r="Z44" i="22"/>
  <c r="Y44" i="22"/>
  <c r="AF13" i="22"/>
  <c r="AE13" i="22"/>
  <c r="Y15" i="22"/>
  <c r="Z15" i="22"/>
  <c r="AG121" i="4"/>
  <c r="AH96" i="4"/>
  <c r="AF25" i="22"/>
  <c r="AE25" i="22"/>
  <c r="Z76" i="22"/>
  <c r="Y76" i="22"/>
  <c r="AF78" i="22"/>
  <c r="AE78" i="22"/>
  <c r="Y34" i="22"/>
  <c r="Z34" i="22"/>
  <c r="AF73" i="22"/>
  <c r="AE73" i="22"/>
  <c r="AF86" i="22"/>
  <c r="AE86" i="22"/>
  <c r="Y59" i="22"/>
  <c r="Z59" i="22"/>
  <c r="AF56" i="22"/>
  <c r="AE56" i="22"/>
  <c r="Z94" i="22"/>
  <c r="Y94" i="22"/>
  <c r="AF93" i="22"/>
  <c r="AE93" i="22"/>
  <c r="Z47" i="22"/>
  <c r="Y47" i="22"/>
  <c r="AF53" i="22"/>
  <c r="AE53" i="22"/>
  <c r="Z32" i="22"/>
  <c r="Y32" i="22"/>
  <c r="AF76" i="22"/>
  <c r="AE76" i="22"/>
  <c r="Y89" i="22"/>
  <c r="Z89" i="22"/>
  <c r="Z18" i="22"/>
  <c r="Y18" i="22"/>
  <c r="Z30" i="22"/>
  <c r="Y30" i="22"/>
  <c r="AF63" i="22"/>
  <c r="AE63" i="22"/>
  <c r="Y16" i="22"/>
  <c r="Z16" i="22"/>
  <c r="AE18" i="22"/>
  <c r="AF18" i="22"/>
  <c r="Y20" i="22"/>
  <c r="Z20" i="22"/>
  <c r="AF22" i="22"/>
  <c r="AE22" i="22"/>
  <c r="Z77" i="22"/>
  <c r="Y77" i="22"/>
  <c r="AF33" i="22"/>
  <c r="AE33" i="22"/>
  <c r="Z73" i="22"/>
  <c r="Y73" i="22"/>
  <c r="AF69" i="22"/>
  <c r="AE69" i="22"/>
  <c r="Z87" i="22"/>
  <c r="Y87" i="22"/>
  <c r="AF88" i="22"/>
  <c r="AE88" i="22"/>
  <c r="Z58" i="22"/>
  <c r="Y58" i="22"/>
  <c r="AF54" i="22"/>
  <c r="AE54" i="22"/>
  <c r="Z91" i="22"/>
  <c r="Y91" i="22"/>
  <c r="AF95" i="22"/>
  <c r="AE95" i="22"/>
  <c r="Z52" i="22"/>
  <c r="Y52" i="22"/>
  <c r="AF47" i="22"/>
  <c r="AE47" i="22"/>
  <c r="Y61" i="22"/>
  <c r="Z61" i="22"/>
  <c r="AF24" i="22"/>
  <c r="AE24" i="22"/>
  <c r="Z69" i="22"/>
  <c r="Y69" i="22"/>
  <c r="AF51" i="22"/>
  <c r="AE51" i="22"/>
  <c r="Z29" i="22"/>
  <c r="Y29" i="22"/>
  <c r="AF45" i="22"/>
  <c r="AE45" i="22"/>
  <c r="Z40" i="22"/>
  <c r="Y40" i="22"/>
  <c r="AF28" i="22"/>
  <c r="AE28" i="22"/>
  <c r="Z42" i="22"/>
  <c r="Y42" i="22"/>
  <c r="AF43" i="22"/>
  <c r="AE43" i="22"/>
  <c r="Z66" i="22"/>
  <c r="Y66" i="22"/>
  <c r="AF67" i="22"/>
  <c r="AE67" i="22"/>
  <c r="Y28" i="22"/>
  <c r="Z28" i="22"/>
  <c r="AF30" i="22"/>
  <c r="AE30" i="22"/>
  <c r="Y12" i="22"/>
  <c r="Z12" i="22"/>
  <c r="AE16" i="22"/>
  <c r="AF16" i="22"/>
  <c r="Y24" i="22"/>
  <c r="Z24" i="22"/>
  <c r="AF23" i="22"/>
  <c r="AE23" i="22"/>
  <c r="AF75" i="22"/>
  <c r="AE75" i="22"/>
  <c r="Y35" i="22"/>
  <c r="Z35" i="22"/>
  <c r="AF37" i="22"/>
  <c r="AE37" i="22"/>
  <c r="Z71" i="22"/>
  <c r="Y71" i="22"/>
  <c r="AE68" i="22"/>
  <c r="AF68" i="22"/>
  <c r="Y85" i="22"/>
  <c r="Z85" i="22"/>
  <c r="AE84" i="22"/>
  <c r="AF84" i="22"/>
  <c r="Z56" i="22"/>
  <c r="Y56" i="22"/>
  <c r="AE58" i="22"/>
  <c r="AF58" i="22"/>
  <c r="Z95" i="22"/>
  <c r="Y95" i="22"/>
  <c r="AE92" i="22"/>
  <c r="AF92" i="22"/>
  <c r="Z48" i="22"/>
  <c r="Y48" i="22"/>
  <c r="AE52" i="22"/>
  <c r="AF52" i="22"/>
  <c r="AE15" i="22"/>
  <c r="AF15" i="22"/>
  <c r="Z33" i="22"/>
  <c r="Y33" i="22"/>
  <c r="AF59" i="22"/>
  <c r="AE59" i="22"/>
  <c r="Z64" i="22"/>
  <c r="Y64" i="22"/>
  <c r="Z19" i="22"/>
  <c r="Y19" i="22"/>
  <c r="AF64" i="22"/>
  <c r="AE64" i="22"/>
  <c r="AE42" i="22"/>
  <c r="AF42" i="22"/>
  <c r="AG135" i="4"/>
  <c r="AH104" i="4"/>
  <c r="Y43" i="22"/>
  <c r="Z43" i="22"/>
  <c r="AF41" i="22"/>
  <c r="AE41" i="22"/>
  <c r="Y67" i="22"/>
  <c r="Z67" i="22"/>
  <c r="AF61" i="22"/>
  <c r="AE61" i="22"/>
  <c r="Z26" i="22"/>
  <c r="Y26" i="22"/>
  <c r="AF29" i="22"/>
  <c r="AE29" i="22"/>
  <c r="Y17" i="22"/>
  <c r="Z17" i="22"/>
  <c r="AF17" i="22"/>
  <c r="AE17" i="22"/>
  <c r="Z21" i="22"/>
  <c r="Y21" i="22"/>
  <c r="AE20" i="22"/>
  <c r="AF20" i="22"/>
  <c r="Z79" i="22"/>
  <c r="Y79" i="22"/>
  <c r="AE81" i="22"/>
  <c r="AF81" i="22"/>
  <c r="Z36" i="22"/>
  <c r="Y36" i="22"/>
  <c r="AF35" i="22"/>
  <c r="AE35" i="22"/>
  <c r="Z68" i="22"/>
  <c r="Y68" i="22"/>
  <c r="AF72" i="22"/>
  <c r="AE72" i="22"/>
  <c r="Z83" i="22"/>
  <c r="Y83" i="22"/>
  <c r="AF82" i="22"/>
  <c r="AE82" i="22"/>
  <c r="Z54" i="22"/>
  <c r="Y54" i="22"/>
  <c r="AF57" i="22"/>
  <c r="AE57" i="22"/>
  <c r="Y90" i="22"/>
  <c r="Z90" i="22"/>
  <c r="AF89" i="22"/>
  <c r="AE89" i="22"/>
  <c r="Y51" i="22"/>
  <c r="Z51" i="22"/>
  <c r="AF48" i="22"/>
  <c r="AE48" i="22"/>
  <c r="AF32" i="22"/>
  <c r="AE32" i="22"/>
  <c r="Z84" i="22"/>
  <c r="Y84" i="22"/>
  <c r="AF40" i="22"/>
  <c r="AE40" i="22"/>
  <c r="Z46" i="22"/>
  <c r="Y46" i="22"/>
  <c r="AG120" i="4"/>
  <c r="AG132" i="4"/>
  <c r="AG110" i="4"/>
  <c r="AH94" i="4"/>
  <c r="Z63" i="22"/>
  <c r="Y63" i="22"/>
  <c r="Z41" i="22"/>
  <c r="Y41" i="22"/>
  <c r="Z65" i="22"/>
  <c r="Y65" i="22"/>
  <c r="AE66" i="22"/>
  <c r="AF66" i="22"/>
  <c r="Z27" i="22"/>
  <c r="Y27" i="22"/>
  <c r="AE26" i="22"/>
  <c r="AF26" i="22"/>
  <c r="Y14" i="22"/>
  <c r="Z14" i="22"/>
  <c r="AE14" i="22"/>
  <c r="AF14" i="22"/>
  <c r="Z22" i="22"/>
  <c r="Y22" i="22"/>
  <c r="AF21" i="22"/>
  <c r="AE21" i="22"/>
  <c r="Z81" i="22"/>
  <c r="Y81" i="22"/>
  <c r="AF79" i="22"/>
  <c r="AE79" i="22"/>
  <c r="Z39" i="22"/>
  <c r="Y39" i="22"/>
  <c r="AE34" i="22"/>
  <c r="AF34" i="22"/>
  <c r="Z74" i="22"/>
  <c r="Y74" i="22"/>
  <c r="AF70" i="22"/>
  <c r="AE70" i="22"/>
  <c r="Y82" i="22"/>
  <c r="Z82" i="22"/>
  <c r="AF87" i="22"/>
  <c r="AE87" i="22"/>
  <c r="Z60" i="22"/>
  <c r="Y60" i="22"/>
  <c r="AF60" i="22"/>
  <c r="AE60" i="22"/>
  <c r="Y93" i="22"/>
  <c r="Z93" i="22"/>
  <c r="AF91" i="22"/>
  <c r="AE91" i="22"/>
  <c r="Z50" i="22"/>
  <c r="Y50" i="22"/>
  <c r="Q25" i="30" l="1"/>
  <c r="I13" i="19"/>
  <c r="I18" i="19"/>
  <c r="K18" i="19" s="1"/>
  <c r="J11" i="20"/>
  <c r="J16" i="20"/>
  <c r="L16" i="20" s="1"/>
  <c r="J11" i="22"/>
  <c r="J12" i="22" s="1"/>
  <c r="I16" i="22"/>
  <c r="I11" i="22"/>
  <c r="J16" i="22"/>
  <c r="J18" i="22" s="1"/>
  <c r="AH110" i="4"/>
  <c r="AG115" i="4"/>
  <c r="J19" i="20" l="1"/>
  <c r="L11" i="20"/>
  <c r="K13" i="19"/>
  <c r="I23" i="19"/>
  <c r="I12" i="22"/>
  <c r="K11" i="22"/>
  <c r="K16" i="22"/>
  <c r="I18" i="22"/>
  <c r="K18" i="22" s="1"/>
  <c r="J24" i="22"/>
  <c r="K24" i="19" l="1"/>
  <c r="K23" i="19"/>
  <c r="L19" i="20"/>
  <c r="L20" i="20"/>
  <c r="I24" i="22"/>
  <c r="K12" i="22"/>
  <c r="Q24" i="30" l="1"/>
  <c r="K25" i="22"/>
  <c r="K24" i="22"/>
  <c r="Q34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61" authorId="0" shapeId="0" xr:uid="{00000000-0006-0000-1D00-000001000000}">
      <text>
        <r>
          <rPr>
            <sz val="10"/>
            <color rgb="FF000000"/>
            <rFont val="Arial"/>
            <family val="2"/>
            <scheme val="minor"/>
          </rPr>
          <t>source:
FHWA, Highway Statistics 2021, VM-1
 Average miles traveled
rounded to nearest thousand</t>
        </r>
      </text>
    </comment>
    <comment ref="B62" authorId="0" shapeId="0" xr:uid="{00000000-0006-0000-1D00-000002000000}">
      <text>
        <r>
          <rPr>
            <sz val="10"/>
            <color rgb="FF000000"/>
            <rFont val="Arial"/>
            <family val="2"/>
            <scheme val="minor"/>
          </rPr>
          <t>source:
FHWA, Highway Statistics 2021, VM-1
 Average miles traveled
rounded to nearest thousand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11" authorId="0" shapeId="0" xr:uid="{00000000-0006-0000-1000-000001000000}">
      <text>
        <r>
          <rPr>
            <sz val="10"/>
            <color rgb="FF000000"/>
            <rFont val="Arial"/>
            <family val="2"/>
            <scheme val="minor"/>
          </rPr>
          <t>Centerville Washington Park District average miles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8" authorId="0" shapeId="0" xr:uid="{00000000-0006-0000-1100-000001000000}">
      <text>
        <r>
          <rPr>
            <sz val="10"/>
            <color rgb="FF000000"/>
            <rFont val="Arial"/>
            <family val="2"/>
            <scheme val="minor"/>
          </rPr>
          <t>Fraction of solar capacity that will be groundmount (remaining fraction will be rooftop solar)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4" authorId="0" shapeId="0" xr:uid="{00000000-0006-0000-1300-000001000000}">
      <text>
        <r>
          <rPr>
            <sz val="10"/>
            <color rgb="FF000000"/>
            <rFont val="Arial"/>
            <family val="2"/>
            <scheme val="minor"/>
          </rPr>
          <t>Midpoint of floorspace range in 2018 CBECS for smallest buildings is 1001-5000 sqft
page 9 in
https://www.eia.gov/consumption/commercial/data/2018/pdf/CBECS_2018_Building_Characteristics_Flipbook.pdf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29" authorId="0" shapeId="0" xr:uid="{00000000-0006-0000-1700-000001000000}">
      <text>
        <r>
          <rPr>
            <sz val="10"/>
            <color rgb="FF000000"/>
            <rFont val="Arial"/>
            <family val="2"/>
            <scheme val="minor"/>
          </rPr>
          <t>75% of deep retrofit cost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16" authorId="0" shapeId="0" xr:uid="{00000000-0006-0000-1A00-000001000000}">
      <text>
        <r>
          <rPr>
            <sz val="10"/>
            <color rgb="FF000000"/>
            <rFont val="Arial"/>
            <family val="2"/>
            <scheme val="minor"/>
          </rPr>
          <t xml:space="preserve">FHWA, Highway Statistics 2021, VM-1
 Average miles traveled
rounded to nearest thousand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67" authorId="0" shapeId="0" xr:uid="{00000000-0006-0000-1B00-000001000000}">
      <text>
        <r>
          <rPr>
            <sz val="10"/>
            <color rgb="FF000000"/>
            <rFont val="Arial"/>
            <family val="2"/>
            <scheme val="minor"/>
          </rPr>
          <t>percent increase in commute cycling for every 1 percent increase in bike 
lane distance</t>
        </r>
      </text>
    </comment>
    <comment ref="E70" authorId="0" shapeId="0" xr:uid="{00000000-0006-0000-1B00-000002000000}">
      <text>
        <r>
          <rPr>
            <sz val="10"/>
            <color rgb="FF000000"/>
            <rFont val="Arial"/>
            <family val="2"/>
            <scheme val="minor"/>
          </rPr>
          <t>source: Regional Bikeways GIS layer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12" authorId="0" shapeId="0" xr:uid="{00000000-0006-0000-1C00-000002000000}">
      <text>
        <r>
          <rPr>
            <sz val="10"/>
            <color rgb="FF000000"/>
            <rFont val="Arial"/>
            <family val="2"/>
            <scheme val="minor"/>
          </rPr>
          <t>increasing food waste reduction actually decreases emissions reduction given WARM model assumptions and methodology so leave at 0 for PCAP</t>
        </r>
      </text>
    </comment>
  </commentList>
</comments>
</file>

<file path=xl/sharedStrings.xml><?xml version="1.0" encoding="utf-8"?>
<sst xmlns="http://schemas.openxmlformats.org/spreadsheetml/2006/main" count="6189" uniqueCount="770">
  <si>
    <t>Electricity</t>
  </si>
  <si>
    <t xml:space="preserve"> KWh</t>
  </si>
  <si>
    <t>Year</t>
  </si>
  <si>
    <t>County Name</t>
  </si>
  <si>
    <t>Sector</t>
  </si>
  <si>
    <t>Greene</t>
  </si>
  <si>
    <t>commercial</t>
  </si>
  <si>
    <t>residential</t>
  </si>
  <si>
    <t>industrial</t>
  </si>
  <si>
    <t>Miami</t>
  </si>
  <si>
    <t>Montgomery</t>
  </si>
  <si>
    <t>Grand Total</t>
  </si>
  <si>
    <t>State Name</t>
  </si>
  <si>
    <t>Ohio</t>
  </si>
  <si>
    <t>Natural Gas</t>
  </si>
  <si>
    <t xml:space="preserve"> MCF</t>
  </si>
  <si>
    <t>Million VMT</t>
  </si>
  <si>
    <t xml:space="preserve"> MOTORCYCLES</t>
  </si>
  <si>
    <t xml:space="preserve"> PASSENGER CAR</t>
  </si>
  <si>
    <t xml:space="preserve"> LIGHT TRUCKS</t>
  </si>
  <si>
    <t xml:space="preserve"> BUSES</t>
  </si>
  <si>
    <t xml:space="preserve"> SINGLE-UNIT TRUCKS</t>
  </si>
  <si>
    <t xml:space="preserve"> COMBINATION TRUCKS</t>
  </si>
  <si>
    <t xml:space="preserve"> Total Population</t>
  </si>
  <si>
    <t xml:space="preserve"> Total Housing Units</t>
  </si>
  <si>
    <r>
      <t xml:space="preserve">source: MVRPC – 2050 Long Range Transportation Plan (May 2021) , Chapter 3, </t>
    </r>
    <r>
      <rPr>
        <u/>
        <sz val="10"/>
        <color rgb="FF1155CC"/>
        <rFont val="Arial"/>
        <family val="2"/>
      </rPr>
      <t>link</t>
    </r>
  </si>
  <si>
    <t>Table 3.3 - Population Projections: 2010 - 2050</t>
  </si>
  <si>
    <t>County</t>
  </si>
  <si>
    <t>Census</t>
  </si>
  <si>
    <t>MVRPC</t>
  </si>
  <si>
    <t>% Change</t>
  </si>
  <si>
    <t>(2010-2050)</t>
  </si>
  <si>
    <t>Total</t>
  </si>
  <si>
    <t>Source: 2010 Census/MVRPC</t>
  </si>
  <si>
    <t>Fuel - MMBTU</t>
  </si>
  <si>
    <t>population</t>
  </si>
  <si>
    <t>Dayton Kettering MSA</t>
  </si>
  <si>
    <t>% Chg</t>
  </si>
  <si>
    <t>source: State Inventory and Projection Tool (Projection Tool from 2020 to 2050.xlsm)</t>
  </si>
  <si>
    <t>OH Fuel - Billion BTU</t>
  </si>
  <si>
    <t>Ratio</t>
  </si>
  <si>
    <t>OH population</t>
  </si>
  <si>
    <t>thousands</t>
  </si>
  <si>
    <t>Residential</t>
  </si>
  <si>
    <t>Electricity (kWh)</t>
  </si>
  <si>
    <t>Commercial</t>
  </si>
  <si>
    <t>Gasoline</t>
  </si>
  <si>
    <t>Distillate Fuel</t>
  </si>
  <si>
    <t>Industrial</t>
  </si>
  <si>
    <t>Coking Coal</t>
  </si>
  <si>
    <t>Transportation</t>
  </si>
  <si>
    <t>Diesel</t>
  </si>
  <si>
    <t>Dayton Kettering pop</t>
  </si>
  <si>
    <t>Billion BTU / person</t>
  </si>
  <si>
    <t>Dayton Kettering Fuel - Billion BTU</t>
  </si>
  <si>
    <t>Dayton Kettering Fuel % Chg</t>
  </si>
  <si>
    <t>Greene - Billion BTU</t>
  </si>
  <si>
    <t>Greene county pop</t>
  </si>
  <si>
    <t>Greene County Fuel % Chg</t>
  </si>
  <si>
    <t>Miami - Billion BTU</t>
  </si>
  <si>
    <t>Miami county pop</t>
  </si>
  <si>
    <t>Miami County Fuel % Chg</t>
  </si>
  <si>
    <t>Montgomery - Billion BTU</t>
  </si>
  <si>
    <t>Montgomery county pop</t>
  </si>
  <si>
    <t>Montgomery County Fuel % Chg</t>
  </si>
  <si>
    <t>Population</t>
  </si>
  <si>
    <t>2050/2021 ratio</t>
  </si>
  <si>
    <t>Source Ratio</t>
  </si>
  <si>
    <t>Energy Use</t>
  </si>
  <si>
    <t>Emissions</t>
  </si>
  <si>
    <t>Emissions - MT CO2e</t>
  </si>
  <si>
    <t>% Chg 2021-2050</t>
  </si>
  <si>
    <t>Other</t>
  </si>
  <si>
    <t>Elec Gen</t>
  </si>
  <si>
    <t>Solid Waste</t>
  </si>
  <si>
    <t>Non Energy</t>
  </si>
  <si>
    <t>Wastewater</t>
  </si>
  <si>
    <t>Agriculture</t>
  </si>
  <si>
    <t>Urban Forest</t>
  </si>
  <si>
    <t>Electricity generation</t>
  </si>
  <si>
    <t>SUM of 2021</t>
  </si>
  <si>
    <t>SUM of 2022</t>
  </si>
  <si>
    <t>SUM of 2023</t>
  </si>
  <si>
    <t>SUM of 2024</t>
  </si>
  <si>
    <t>SUM of 2025</t>
  </si>
  <si>
    <t>SUM of 2026</t>
  </si>
  <si>
    <t>SUM of 2027</t>
  </si>
  <si>
    <t>SUM of 2028</t>
  </si>
  <si>
    <t>SUM of 2029</t>
  </si>
  <si>
    <t>SUM of 2030</t>
  </si>
  <si>
    <t>SUM of 2031</t>
  </si>
  <si>
    <t>SUM of 2032</t>
  </si>
  <si>
    <t>SUM of 2033</t>
  </si>
  <si>
    <t>SUM of 2034</t>
  </si>
  <si>
    <t>SUM of 2035</t>
  </si>
  <si>
    <t>SUM of 2036</t>
  </si>
  <si>
    <t>SUM of 2037</t>
  </si>
  <si>
    <t>SUM of 2038</t>
  </si>
  <si>
    <t>SUM of 2039</t>
  </si>
  <si>
    <t>SUM of 2040</t>
  </si>
  <si>
    <t>SUM of 2041</t>
  </si>
  <si>
    <t>SUM of 2042</t>
  </si>
  <si>
    <t>SUM of 2043</t>
  </si>
  <si>
    <t>SUM of 2044</t>
  </si>
  <si>
    <t>SUM of 2045</t>
  </si>
  <si>
    <t>SUM of 2046</t>
  </si>
  <si>
    <t>SUM of 2047</t>
  </si>
  <si>
    <t>SUM of 2048</t>
  </si>
  <si>
    <t>SUM of 2049</t>
  </si>
  <si>
    <t>SUM of 2050</t>
  </si>
  <si>
    <t>source: RMI EPS, BAU, Ohio</t>
  </si>
  <si>
    <t>state</t>
  </si>
  <si>
    <t>Time</t>
  </si>
  <si>
    <t>NoSettings</t>
  </si>
  <si>
    <t>OH</t>
  </si>
  <si>
    <t>Output Total Electricity Demand - terawatt-hours (TWh) / year</t>
  </si>
  <si>
    <t>Output Total CO2e Emissions by Sector[electricity sector] - million metric tons / year</t>
  </si>
  <si>
    <t>MT CO2e/GWh</t>
  </si>
  <si>
    <t>source: community_ghg_inventorytool.xlsm</t>
  </si>
  <si>
    <t>Fuel CO2 Emission Factors</t>
  </si>
  <si>
    <t>kg CO2/gallon (GGE for CNG)</t>
  </si>
  <si>
    <t>MMBTU/gallon</t>
  </si>
  <si>
    <t>kg CO2 / MMBTU</t>
  </si>
  <si>
    <t>Default CH4 and N2O Emission Factors for Highway Vehicles by Model Year</t>
  </si>
  <si>
    <t>Vehicle Type and Year</t>
  </si>
  <si>
    <t>CH4 (g/mi)</t>
  </si>
  <si>
    <t>N2O (g/mi)</t>
  </si>
  <si>
    <t>Passenger Car</t>
  </si>
  <si>
    <t>Light Truck (Vans, Pickup Trucks, SUVs)</t>
  </si>
  <si>
    <t>Heavy-Duty Vehicle</t>
  </si>
  <si>
    <t>Non-CO2 Emission Factors for Other Vehicles</t>
  </si>
  <si>
    <t>CH4 (g/VMT)</t>
  </si>
  <si>
    <t>N2O (g/VMT)</t>
  </si>
  <si>
    <t>Vehicle Types</t>
  </si>
  <si>
    <t>Motorcycles (1996 +)</t>
  </si>
  <si>
    <t>Motocycle</t>
  </si>
  <si>
    <t>Total/Avg Gasoline</t>
  </si>
  <si>
    <t>Inventory VMT</t>
  </si>
  <si>
    <t>avg mpg</t>
  </si>
  <si>
    <t>avg mi / MMBTU</t>
  </si>
  <si>
    <t>CH4 (g/MMBTU)</t>
  </si>
  <si>
    <t>N2O (g/MMBTU)</t>
  </si>
  <si>
    <t>Emission Factors Per MMBtu (multiplied by heat content to determine emissions/unit)</t>
  </si>
  <si>
    <t>kg/MMBtu</t>
  </si>
  <si>
    <t>Fuel</t>
  </si>
  <si>
    <t>CO2</t>
  </si>
  <si>
    <t>CH4</t>
  </si>
  <si>
    <t>N2O</t>
  </si>
  <si>
    <t>MMBtu/Unit</t>
  </si>
  <si>
    <t>MMBtu/scf</t>
  </si>
  <si>
    <t>Emission Factors (lb/MWh)</t>
  </si>
  <si>
    <t>Total EF</t>
  </si>
  <si>
    <t>eGRID Subregion</t>
  </si>
  <si>
    <t>lb CO2e/MWh</t>
  </si>
  <si>
    <t>MT / lb</t>
  </si>
  <si>
    <t>RFCW eGRID subregion</t>
  </si>
  <si>
    <t>CO2 to CO2e</t>
  </si>
  <si>
    <t>CH4 to CO2e</t>
  </si>
  <si>
    <t>N2O to CO2e</t>
  </si>
  <si>
    <t>MT CO2e/MMBTU</t>
  </si>
  <si>
    <t>MT CO2e / MMBTU</t>
  </si>
  <si>
    <t>Biogas</t>
  </si>
  <si>
    <t>BTU/kWh</t>
  </si>
  <si>
    <r>
      <rPr>
        <sz val="11"/>
        <color rgb="FF000000"/>
        <rFont val="Calibri, sans-serif"/>
      </rPr>
      <t xml:space="preserve">source: </t>
    </r>
    <r>
      <rPr>
        <u/>
        <sz val="11"/>
        <color rgb="FF1155CC"/>
        <rFont val="Calibri, sans-serif"/>
      </rPr>
      <t>National Transportation Statistics</t>
    </r>
    <r>
      <rPr>
        <sz val="11"/>
        <color rgb="FF000000"/>
        <rFont val="Calibri, sans-serif"/>
      </rPr>
      <t xml:space="preserve"> Table 4-43</t>
    </r>
  </si>
  <si>
    <t>Table 4-43:  Estimated National Average Vehicle Emissions Rates per Vehicle by Vehicle Type using Gasoline and Diesel (Grams per mile)</t>
  </si>
  <si>
    <t>(R) 2000</t>
  </si>
  <si>
    <t>(R) 2001</t>
  </si>
  <si>
    <t>(R) 2002</t>
  </si>
  <si>
    <t>(R) 2003</t>
  </si>
  <si>
    <t>(R) 2004</t>
  </si>
  <si>
    <t>(R) 2005</t>
  </si>
  <si>
    <t>(R) 2006</t>
  </si>
  <si>
    <t>(R) 2007</t>
  </si>
  <si>
    <t>(R) 2008</t>
  </si>
  <si>
    <t>(R) 2009</t>
  </si>
  <si>
    <t>(R) 2010</t>
  </si>
  <si>
    <t>(R) 2011</t>
  </si>
  <si>
    <t>(R) 2012</t>
  </si>
  <si>
    <t>(R) 2013</t>
  </si>
  <si>
    <t>(R) 2014</t>
  </si>
  <si>
    <t>(R) 2015</t>
  </si>
  <si>
    <t>(R) 2016</t>
  </si>
  <si>
    <t>(R) 2017</t>
  </si>
  <si>
    <t>(R) 2018</t>
  </si>
  <si>
    <t>(P) 2021</t>
  </si>
  <si>
    <t>(P) 2022</t>
  </si>
  <si>
    <t>(P) 2023</t>
  </si>
  <si>
    <t>(P) 2024</t>
  </si>
  <si>
    <t>(P) 2025</t>
  </si>
  <si>
    <t>(P) 2026</t>
  </si>
  <si>
    <t>(P) 2027</t>
  </si>
  <si>
    <t>(P) 2028</t>
  </si>
  <si>
    <t>(P) 2029</t>
  </si>
  <si>
    <t>(P) 2030</t>
  </si>
  <si>
    <t>GASOLINE</t>
  </si>
  <si>
    <t>Light-duty vehicles</t>
  </si>
  <si>
    <t>Total HC</t>
  </si>
  <si>
    <t>Exhaust CO</t>
  </si>
  <si>
    <t>Exhaust NOx</t>
  </si>
  <si>
    <t>Exhaust PM2.5</t>
  </si>
  <si>
    <t>Brakewear PM2.5</t>
  </si>
  <si>
    <t>Tirewear PM2.5</t>
  </si>
  <si>
    <t>Light-duty trucks</t>
  </si>
  <si>
    <t>Heavy-duty vehicles</t>
  </si>
  <si>
    <t>Motorcycles</t>
  </si>
  <si>
    <t>DIESEL</t>
  </si>
  <si>
    <t>Average Emissions Per Vehicle, Gasoline and Diesel Fleet</t>
  </si>
  <si>
    <t>KEY: CO = carbon monoxide; HC = hydrocarbons; NOx = nitrogen oxides; P = projection; PM2.5 = particulate matter with diameter &lt;= 2.5 micrometers; R = revised.</t>
  </si>
  <si>
    <t>sources</t>
  </si>
  <si>
    <t>Fuel Economy Guide - 2023</t>
  </si>
  <si>
    <t>On Road VMT</t>
  </si>
  <si>
    <t>Fossil Fuel Energy Equivalent (MMBtu)</t>
  </si>
  <si>
    <t>MMBtu/VMT</t>
  </si>
  <si>
    <t>CO2e (MT)</t>
  </si>
  <si>
    <t>MT CO2e/VMT</t>
  </si>
  <si>
    <t>Average Electric Car kWh Per Mile</t>
  </si>
  <si>
    <t>EPA inventory tool</t>
  </si>
  <si>
    <t>Electrifying Trucks: From Delivery Vans to Buses to 18-Wheelers</t>
  </si>
  <si>
    <t>Vehicle Type</t>
  </si>
  <si>
    <t>Average MPG</t>
  </si>
  <si>
    <t>kWh/mile</t>
  </si>
  <si>
    <t>MMBTU/mile</t>
  </si>
  <si>
    <t>Gasoline &amp; Other Fuels</t>
  </si>
  <si>
    <t>Diesel &amp; Biodiesel</t>
  </si>
  <si>
    <t>Light Truck</t>
  </si>
  <si>
    <t>Motorcycle</t>
  </si>
  <si>
    <t>N/A</t>
  </si>
  <si>
    <t>Standard Pickup Trucks 4WD - pg 40-41</t>
  </si>
  <si>
    <t>City Fuel Economy</t>
  </si>
  <si>
    <t>mpge</t>
  </si>
  <si>
    <t>kWh/100 mi</t>
  </si>
  <si>
    <t>Ford Lighting</t>
  </si>
  <si>
    <t>MPGe/mi/kWh</t>
  </si>
  <si>
    <t>Lordstown</t>
  </si>
  <si>
    <t>kWh/MMBTU</t>
  </si>
  <si>
    <t>Rivian</t>
  </si>
  <si>
    <t>Vinfast</t>
  </si>
  <si>
    <t>Table 1</t>
  </si>
  <si>
    <t>kWh/mi</t>
  </si>
  <si>
    <t>mpg equivalent</t>
  </si>
  <si>
    <t>Class 8 port drayage</t>
  </si>
  <si>
    <t>Class 8 refuse truck</t>
  </si>
  <si>
    <t>Class 7 food delivery truck</t>
  </si>
  <si>
    <t>Class 7 city bus</t>
  </si>
  <si>
    <t>Class 6 school bus</t>
  </si>
  <si>
    <t>Class 5 linen delivery van</t>
  </si>
  <si>
    <t>Class 5 food delivery truck</t>
  </si>
  <si>
    <t>Class 4 parcel delivery van</t>
  </si>
  <si>
    <t>Class 3 food delivery truck</t>
  </si>
  <si>
    <t>Class 3 bucket truck</t>
  </si>
  <si>
    <t>CAP Emission Factors (g/mi)</t>
  </si>
  <si>
    <t>ldv_gas_car</t>
  </si>
  <si>
    <t>ldv_gas_lt</t>
  </si>
  <si>
    <t>hdv_diesel</t>
  </si>
  <si>
    <t>ldv_gas_moto</t>
  </si>
  <si>
    <t>Rooftop Solar Photovoltaic Technical Potential in the United States: A Detailed Assessment</t>
  </si>
  <si>
    <t>Table 6. Total Estimated Technical Potential (All Buildings) for Rooftop PV by State</t>
  </si>
  <si>
    <t>Total Roof Area Suitable for PV Deployment</t>
  </si>
  <si>
    <t>million m2</t>
  </si>
  <si>
    <t>million sqft</t>
  </si>
  <si>
    <t>Installed Capacity Potential</t>
  </si>
  <si>
    <t>GW</t>
  </si>
  <si>
    <t>Annual Generation Potential</t>
  </si>
  <si>
    <t>TWh/yr</t>
  </si>
  <si>
    <t>GWh/yr</t>
  </si>
  <si>
    <t>Capacity Factor</t>
  </si>
  <si>
    <t>PV Potential - GWh/GW</t>
  </si>
  <si>
    <t>GWh/m2</t>
  </si>
  <si>
    <t>sqft/sqm</t>
  </si>
  <si>
    <t>GWh/MMBTU</t>
  </si>
  <si>
    <t>Total Population</t>
  </si>
  <si>
    <t>Total Housing Units</t>
  </si>
  <si>
    <t>1, detached</t>
  </si>
  <si>
    <t>2, attached</t>
  </si>
  <si>
    <t>2 apts</t>
  </si>
  <si>
    <t>3 or 4 apts</t>
  </si>
  <si>
    <t>5 to 9 apts</t>
  </si>
  <si>
    <t>10 to 19 apts</t>
  </si>
  <si>
    <t>20 to 49 apts</t>
  </si>
  <si>
    <t>50 or more apts</t>
  </si>
  <si>
    <t>mobile home</t>
  </si>
  <si>
    <t>natural gas</t>
  </si>
  <si>
    <t>propane</t>
  </si>
  <si>
    <t>electricity</t>
  </si>
  <si>
    <t>fuel oil</t>
  </si>
  <si>
    <t>coal</t>
  </si>
  <si>
    <t>wood</t>
  </si>
  <si>
    <t>solar</t>
  </si>
  <si>
    <t>other</t>
  </si>
  <si>
    <t>no fuel</t>
  </si>
  <si>
    <t>miles</t>
  </si>
  <si>
    <t>number of trips</t>
  </si>
  <si>
    <t>origin_cty</t>
  </si>
  <si>
    <t>primary_mode</t>
  </si>
  <si>
    <t>0 to 1</t>
  </si>
  <si>
    <t>1 to 2</t>
  </si>
  <si>
    <t>2 to 4</t>
  </si>
  <si>
    <t>4 to 8</t>
  </si>
  <si>
    <t>8 to 16</t>
  </si>
  <si>
    <t>16 to 32</t>
  </si>
  <si>
    <t>32 to 64</t>
  </si>
  <si>
    <t>Over 64</t>
  </si>
  <si>
    <t>auto</t>
  </si>
  <si>
    <t>auto_passenger</t>
  </si>
  <si>
    <t>biking</t>
  </si>
  <si>
    <t>on_demand_auto</t>
  </si>
  <si>
    <t>private_auto</t>
  </si>
  <si>
    <t>public_transit</t>
  </si>
  <si>
    <t>walking</t>
  </si>
  <si>
    <t>average trip length (mi / trip)</t>
  </si>
  <si>
    <t>average mode share</t>
  </si>
  <si>
    <t>Total Miles</t>
  </si>
  <si>
    <t>Total Trips</t>
  </si>
  <si>
    <t>vehicle occupancy</t>
  </si>
  <si>
    <t>person miles travelled distance class shares by mode</t>
  </si>
  <si>
    <t>person miles travelled mode shares by distance class</t>
  </si>
  <si>
    <r>
      <t xml:space="preserve">source: T-20. Expand Bikeway Network, </t>
    </r>
    <r>
      <rPr>
        <u/>
        <sz val="10"/>
        <color rgb="FF1155CC"/>
        <rFont val="Arial"/>
        <family val="2"/>
      </rPr>
      <t>Handbook for Analyzing Greenhouse Gas Emission Reductions, Assessing Climate Vulnerabilities, and Advancing Health and Equity</t>
    </r>
  </si>
  <si>
    <t>% Reduction VMT</t>
  </si>
  <si>
    <t>Target Bike Mode Share</t>
  </si>
  <si>
    <t>Target Vehicle Share</t>
  </si>
  <si>
    <t>Fraction Increase in Bikeway Miles</t>
  </si>
  <si>
    <t>name</t>
  </si>
  <si>
    <t>dwelling_units_single_family</t>
  </si>
  <si>
    <t>dwelling_units_multi_family</t>
  </si>
  <si>
    <t>dwelling_units_mixed_use</t>
  </si>
  <si>
    <t>building_area_total</t>
  </si>
  <si>
    <t>building_area_residential_single_family</t>
  </si>
  <si>
    <t>building_area_residential_multi_family</t>
  </si>
  <si>
    <t>building_area_commercial_retail</t>
  </si>
  <si>
    <t>building_area_commercial_office</t>
  </si>
  <si>
    <t>building_area_commercial_non_retail_attraction</t>
  </si>
  <si>
    <t>building_area_industrial</t>
  </si>
  <si>
    <t>building_area_civic_healthcare</t>
  </si>
  <si>
    <t>building_area_civic_education</t>
  </si>
  <si>
    <t>building_area_civic_other</t>
  </si>
  <si>
    <t>building_area_transportation_utilities</t>
  </si>
  <si>
    <t>building_area_open_space</t>
  </si>
  <si>
    <t>building_area_agriculture</t>
  </si>
  <si>
    <t>building_area_other</t>
  </si>
  <si>
    <t>building_area_unknown</t>
  </si>
  <si>
    <t>Greene County, OH</t>
  </si>
  <si>
    <t>Miami County, OH</t>
  </si>
  <si>
    <t>Montgomery County, OH</t>
  </si>
  <si>
    <t>Projected Housing Units</t>
  </si>
  <si>
    <t>Avg annual housing unit growth</t>
  </si>
  <si>
    <t>New Housing Units (unit/yr)</t>
  </si>
  <si>
    <t>AEO2023 Residential Key Indicators Households Total (Case Reference case)</t>
  </si>
  <si>
    <t>https://www.eia.gov/outlooks/aeo/data/browser/#/?id=4-AEO2023&amp;region=0-0&amp;cases=ref2023&amp;start=2021&amp;end=2050&amp;f=A&amp;linechart=ref2023-d020623a.7-4-AEO2023&amp;ctype=linechart&amp;sid=ref2023-d020623a.7-4-AEO2023&amp;sourcekey=0</t>
  </si>
  <si>
    <t>17:20:47 GMT-0500 (Eastern Standard Time)</t>
  </si>
  <si>
    <t>Data source: U.S. Energy Information Administration</t>
  </si>
  <si>
    <t>AEO2023: Residential: Key Indicators: Households: Total millions</t>
  </si>
  <si>
    <t>energy consumption  kWh</t>
  </si>
  <si>
    <t>zone</t>
  </si>
  <si>
    <t>det_building_type</t>
  </si>
  <si>
    <t>res_sqft</t>
  </si>
  <si>
    <t>stories</t>
  </si>
  <si>
    <t>median_hgt</t>
  </si>
  <si>
    <t>housing_un</t>
  </si>
  <si>
    <t>year_built</t>
  </si>
  <si>
    <t>county</t>
  </si>
  <si>
    <t>bldType</t>
  </si>
  <si>
    <t>bldgEnrUseSec_CIS</t>
  </si>
  <si>
    <t>fuel_oil</t>
  </si>
  <si>
    <t>natural_gas</t>
  </si>
  <si>
    <t>site_energy</t>
  </si>
  <si>
    <t>Total (Elec + NG)</t>
  </si>
  <si>
    <t>Mobile Home</t>
  </si>
  <si>
    <t>OH, Greene County</t>
  </si>
  <si>
    <t>mobile_home</t>
  </si>
  <si>
    <t>lighting</t>
  </si>
  <si>
    <t>Single-Family Housing</t>
  </si>
  <si>
    <t>Multi-Family Apartment</t>
  </si>
  <si>
    <t>majorAppliance_NoWatHeat</t>
  </si>
  <si>
    <t>Attached Condo Building</t>
  </si>
  <si>
    <t>plugLoad</t>
  </si>
  <si>
    <t>spaceCondDistribution</t>
  </si>
  <si>
    <t>spaceCooling</t>
  </si>
  <si>
    <t>spaceHeating</t>
  </si>
  <si>
    <t>waterHeating</t>
  </si>
  <si>
    <t>multi-family_with_2_-_4_units</t>
  </si>
  <si>
    <t>Avg Bldg Size</t>
  </si>
  <si>
    <t xml:space="preserve">Avg Bldg Size </t>
  </si>
  <si>
    <t>SEMCOG</t>
  </si>
  <si>
    <t>Miami Valley</t>
  </si>
  <si>
    <t>multi-family_with_5plus_units</t>
  </si>
  <si>
    <t>single-family_attached</t>
  </si>
  <si>
    <t>single-family_detached</t>
  </si>
  <si>
    <t>OH, Miami County</t>
  </si>
  <si>
    <t>avg footprint</t>
  </si>
  <si>
    <t>OH, Montgomery County</t>
  </si>
  <si>
    <t>Lapeer</t>
  </si>
  <si>
    <t>Dormitory Quarters</t>
  </si>
  <si>
    <t>Livingston</t>
  </si>
  <si>
    <t>Macomb</t>
  </si>
  <si>
    <t>Monroe</t>
  </si>
  <si>
    <t>Oakland</t>
  </si>
  <si>
    <t>St. Clair</t>
  </si>
  <si>
    <t>Washtenaw</t>
  </si>
  <si>
    <t>Wayne</t>
  </si>
  <si>
    <t>MMBTU/unit</t>
  </si>
  <si>
    <t>MMBTU</t>
  </si>
  <si>
    <t>Share by end use</t>
  </si>
  <si>
    <t>Share by fuel</t>
  </si>
  <si>
    <t>Building Type</t>
  </si>
  <si>
    <t>End Use</t>
  </si>
  <si>
    <t>number of units</t>
  </si>
  <si>
    <t>units share</t>
  </si>
  <si>
    <t>Energy Use (MMBTU)</t>
  </si>
  <si>
    <t>MMBTU/MCF</t>
  </si>
  <si>
    <t>Emissions (MT CO2e)</t>
  </si>
  <si>
    <t>MMBTU/kWh</t>
  </si>
  <si>
    <t>Reference</t>
  </si>
  <si>
    <t>lbs/kg</t>
  </si>
  <si>
    <t>MTCO2e/MMBTU</t>
  </si>
  <si>
    <t>Clean Grid</t>
  </si>
  <si>
    <t>No</t>
  </si>
  <si>
    <t>clean 2030</t>
  </si>
  <si>
    <t>metric tons CO2e / MMBTU</t>
  </si>
  <si>
    <t>Energy Use kWh</t>
  </si>
  <si>
    <t>nonres_sqf</t>
  </si>
  <si>
    <t>det_building_type adjusted</t>
  </si>
  <si>
    <t>comEnrEndUse_CIS</t>
  </si>
  <si>
    <t>district_cooling</t>
  </si>
  <si>
    <t>district_heating</t>
  </si>
  <si>
    <t>other_fuel</t>
  </si>
  <si>
    <t>comStock</t>
  </si>
  <si>
    <t>Replica Buildings Type</t>
  </si>
  <si>
    <t>commercial_retail</t>
  </si>
  <si>
    <t>fullservicerestaurant</t>
  </si>
  <si>
    <t>Aux_Equip</t>
  </si>
  <si>
    <t>retailstandalone</t>
  </si>
  <si>
    <t>Restaurant</t>
  </si>
  <si>
    <t>commercial_office</t>
  </si>
  <si>
    <t>Aux_Motors</t>
  </si>
  <si>
    <t>mediumoffice</t>
  </si>
  <si>
    <t>Hospital</t>
  </si>
  <si>
    <t>commercial_non_retail_attraction</t>
  </si>
  <si>
    <t>Lighting</t>
  </si>
  <si>
    <t>smallhotel</t>
  </si>
  <si>
    <t>Hotel</t>
  </si>
  <si>
    <t>Space_Cooling</t>
  </si>
  <si>
    <t>Office</t>
  </si>
  <si>
    <t>civic_healthcare</t>
  </si>
  <si>
    <t>Space_Heating</t>
  </si>
  <si>
    <t>civic_education</t>
  </si>
  <si>
    <t>Water_Heating</t>
  </si>
  <si>
    <t>primaryschool</t>
  </si>
  <si>
    <t>Outpatient</t>
  </si>
  <si>
    <t>civic_other</t>
  </si>
  <si>
    <t>hospital</t>
  </si>
  <si>
    <t>Education</t>
  </si>
  <si>
    <t>transportation_utilities</t>
  </si>
  <si>
    <t>warehouse</t>
  </si>
  <si>
    <t>open_space</t>
  </si>
  <si>
    <t>Retail</t>
  </si>
  <si>
    <t>agriculture</t>
  </si>
  <si>
    <t>unknown</t>
  </si>
  <si>
    <t>quickservicerestaurant</t>
  </si>
  <si>
    <t>largehotel</t>
  </si>
  <si>
    <t>Warehouse</t>
  </si>
  <si>
    <t>largeoffice</t>
  </si>
  <si>
    <t>outpatient</t>
  </si>
  <si>
    <t>retailstripmall</t>
  </si>
  <si>
    <t>secondaryschool</t>
  </si>
  <si>
    <t>smalloffice</t>
  </si>
  <si>
    <t>MMBTU/sqft</t>
  </si>
  <si>
    <t>floorspace</t>
  </si>
  <si>
    <t>floorspace share</t>
  </si>
  <si>
    <t>2030 emissions factor based on clean grid</t>
  </si>
  <si>
    <t>Five Rivers Metro Park</t>
  </si>
  <si>
    <t>car</t>
  </si>
  <si>
    <t>light truck</t>
  </si>
  <si>
    <t>Centerville Washington Park District</t>
  </si>
  <si>
    <t>Light Duty Vehicles</t>
  </si>
  <si>
    <t>Heavy Duty Vehicles</t>
  </si>
  <si>
    <t>VMT to shift = (# of vehicules to shift) * (annual VMT/ vehicule)</t>
  </si>
  <si>
    <t># vehicles to shift</t>
  </si>
  <si>
    <t>annual VMT / vehicle</t>
  </si>
  <si>
    <t>VMT to shift (miles)</t>
  </si>
  <si>
    <t>VMT to shift</t>
  </si>
  <si>
    <t>New VMT- Car</t>
  </si>
  <si>
    <t>New VMT- Light Truck</t>
  </si>
  <si>
    <t>New VMT- HDV</t>
  </si>
  <si>
    <t>Existing VMT</t>
  </si>
  <si>
    <t>Total VMT</t>
  </si>
  <si>
    <t>LDV Emissions reduced per County (MT CO2) = Sum of VMT to shift (VMT) * Corresponding county energy consumption factor for Gasoline (MT CO2e/VMT)</t>
  </si>
  <si>
    <t>HDV Emissions reduced per County (MT CO2) = Sum of VMT to shift (VMT) * Corresponding county energy consumption factor for Diesel (MT CO2e/VMT)</t>
  </si>
  <si>
    <t>EV Emissions (MT CO2e) = New VMT- Car (miles) * (Average energy consuption for Passenger Car = 0.36 kWh/miles) / 10^6 * Electricity Emisson factor (for chosen year; MT CO2e/GWh)</t>
  </si>
  <si>
    <t>Net Emissions (MT CO2e) = EV Emissions - LDV Emissions Reduced - HDV Emissions Reduced</t>
  </si>
  <si>
    <t>Emissions Reduced LDV (MT CO2e)</t>
  </si>
  <si>
    <t>Emissions Reduced HDV (MT CO2e)</t>
  </si>
  <si>
    <t>Cost Estimate</t>
  </si>
  <si>
    <t>Cost per electric truck ($/vehicle)</t>
  </si>
  <si>
    <t>Cost per electric car/UTV ($/vehicle)</t>
  </si>
  <si>
    <t>Cost per electric mower ($/mower)</t>
  </si>
  <si>
    <t>Cost per charging station ($ / station)</t>
  </si>
  <si>
    <t>#</t>
  </si>
  <si>
    <t>Unit Cost</t>
  </si>
  <si>
    <t>Total Cost</t>
  </si>
  <si>
    <t>Electric Truck</t>
  </si>
  <si>
    <t>Electric Car</t>
  </si>
  <si>
    <t>Electric UTV</t>
  </si>
  <si>
    <t>Electric Mower</t>
  </si>
  <si>
    <t>Charging Station</t>
  </si>
  <si>
    <t>CAP Emissions Reduced (kg)</t>
  </si>
  <si>
    <t>HC</t>
  </si>
  <si>
    <t>CO</t>
  </si>
  <si>
    <t>NOx</t>
  </si>
  <si>
    <t>PM2.5</t>
  </si>
  <si>
    <t>Installed Solar Capacity - GW</t>
  </si>
  <si>
    <t>Groundmount solar fraction</t>
  </si>
  <si>
    <t>use year to select grid emissions factor and electricity consumption</t>
  </si>
  <si>
    <t>Year Installed</t>
  </si>
  <si>
    <t>Grid Electricity Consumption - GWh</t>
  </si>
  <si>
    <t>Annual Generation Groundmount (GWh/y) = Groundmount solar fraction * City's installed capacity (GW) * 8760 (h/y) * Average City's Capacity Factor</t>
  </si>
  <si>
    <t>Annual Generation Rooftop (GWh/y) = Rooftop solar fraction (1 - Groundmount solar fraction) * City's installed capacity (GW) * 8760 (h/y)* Average Solar Capacity Factor</t>
  </si>
  <si>
    <t xml:space="preserve"> </t>
  </si>
  <si>
    <t>Action Consumption (GWh/y) = Reference Grid Electricity Consumption (Gwh/y) - Annual Generation Groundmount (GWh/y) - Annual Generation Rooftop (GWh/y)</t>
  </si>
  <si>
    <t>Emission Reductions (MT CO2e) = (Reference - Actions) (GWh/y) * Emission Factor for electricity for the chosen year (MT CO2e/GWh/y)</t>
  </si>
  <si>
    <t>Installed Capacity - GW</t>
  </si>
  <si>
    <t>Annual Generation Groundmount - GWh</t>
  </si>
  <si>
    <t>Annual Generation Rooftop - GWh</t>
  </si>
  <si>
    <t>Action</t>
  </si>
  <si>
    <t>Emission Reductions (MT CO2e)</t>
  </si>
  <si>
    <t>Elec EF (MT CO2e/GWh/y) = SUM(Action) / SUM(Reference) * Emission Factor for electricity for the chosen year (MT CO2e/GWh/y)</t>
  </si>
  <si>
    <t>Elec EF (MT CO2e/GWh)</t>
  </si>
  <si>
    <t>Total Capacity - GW</t>
  </si>
  <si>
    <t>Annual Generation - GWh</t>
  </si>
  <si>
    <t>New Groundmount Capacity (MW/yr)</t>
  </si>
  <si>
    <t>Total Groundmount Capacity (MW)</t>
  </si>
  <si>
    <t>CAPEX ($)</t>
  </si>
  <si>
    <t>Fixed O&amp;M ($)</t>
  </si>
  <si>
    <t>Total Groundmount Costs</t>
  </si>
  <si>
    <t>New Rooftop Capacity (MW/yr)</t>
  </si>
  <si>
    <t>Total Rooftop Capacity (MW)</t>
  </si>
  <si>
    <t>Total Rooftop Costs</t>
  </si>
  <si>
    <t>Total Costs</t>
  </si>
  <si>
    <t>source: NREL (National Renewable Energy Laboratory). 2023. "2023 Annual Technology Baseline." Golden, CO: National Renewable Energy Laboratory. https://atb.nrel.gov/. , Moderate Scenario, Utility PV - Class 8</t>
  </si>
  <si>
    <t>CAPEX ($/kW)</t>
  </si>
  <si>
    <t>Fixed O&amp;M ($/kW-yr)</t>
  </si>
  <si>
    <t>source: NREL (National Renewable Energy Laboratory). 2023. "2023 Annual Technology Baseline." Golden, CO: National Renewable Energy Laboratory. https://atb.nrel.gov/. , Moderate Scenario, Commercial PV - Class 8</t>
  </si>
  <si>
    <r>
      <rPr>
        <sz val="10"/>
        <rFont val="Arial"/>
        <family val="2"/>
      </rPr>
      <t xml:space="preserve">source:  </t>
    </r>
    <r>
      <rPr>
        <u/>
        <sz val="10"/>
        <color rgb="FF1155CC"/>
        <rFont val="Arial"/>
        <family val="2"/>
      </rPr>
      <t>NREL Solar PV supply curve data</t>
    </r>
    <r>
      <rPr>
        <sz val="10"/>
        <rFont val="Arial"/>
        <family val="2"/>
      </rPr>
      <t>, Open Access Siting Regime (</t>
    </r>
    <r>
      <rPr>
        <u/>
        <sz val="10"/>
        <color rgb="FF1155CC"/>
        <rFont val="Arial"/>
        <family val="2"/>
      </rPr>
      <t>link</t>
    </r>
    <r>
      <rPr>
        <sz val="10"/>
        <rFont val="Arial"/>
        <family val="2"/>
      </rPr>
      <t>), filtered to Dayton Kettering MSA counties</t>
    </r>
  </si>
  <si>
    <t>sc_gid</t>
  </si>
  <si>
    <t>capacity_f</t>
  </si>
  <si>
    <t>global_hor</t>
  </si>
  <si>
    <t>capacity_m</t>
  </si>
  <si>
    <t>area_sq_km</t>
  </si>
  <si>
    <t>latitude</t>
  </si>
  <si>
    <t>longitude</t>
  </si>
  <si>
    <t>distance_t</t>
  </si>
  <si>
    <t>NAME</t>
  </si>
  <si>
    <t>kW/m2</t>
  </si>
  <si>
    <t>weighted capacity factr</t>
  </si>
  <si>
    <t>Average Capacity Factor</t>
  </si>
  <si>
    <t>Thermal Energy Reduction</t>
  </si>
  <si>
    <t>COP</t>
  </si>
  <si>
    <t>Energy Reduction</t>
  </si>
  <si>
    <t>Space Heating Heat Pump</t>
  </si>
  <si>
    <t>Water Heating Heat Pump</t>
  </si>
  <si>
    <t>VPP Electricity Emission Factor (MT CO2e/MMBTU)</t>
  </si>
  <si>
    <t>Number of Units</t>
  </si>
  <si>
    <t>Units</t>
  </si>
  <si>
    <t>Total Existing Units</t>
  </si>
  <si>
    <t>Base Year Residential</t>
  </si>
  <si>
    <t>Retrofit Buidlings</t>
  </si>
  <si>
    <t>Non Retrofit Buildings</t>
  </si>
  <si>
    <t>Electricity Emissions (MT CO2e) =  Energy Use (MMBTU) * VPP Electricity Emission Factor (MT CO2e/MMBTU)</t>
  </si>
  <si>
    <t>Emissions Reductions (MT CO2e)</t>
  </si>
  <si>
    <t>Pct Change</t>
  </si>
  <si>
    <t>Total Units Impacted</t>
  </si>
  <si>
    <t>Cumulative Emissions Reductions (MT CO2e)</t>
  </si>
  <si>
    <t>Avg 2031-2050</t>
  </si>
  <si>
    <t>2026-2030</t>
  </si>
  <si>
    <t>2026-2050</t>
  </si>
  <si>
    <t>Floorspace per building (sqft)</t>
  </si>
  <si>
    <t># Buildings</t>
  </si>
  <si>
    <t>Floorspace</t>
  </si>
  <si>
    <t>Total Existing Floorspace</t>
  </si>
  <si>
    <t>Emission Reductions</t>
  </si>
  <si>
    <t>Total Floorspace Impacted</t>
  </si>
  <si>
    <t>Retrofit Schedule</t>
  </si>
  <si>
    <t>Retrofit Costs</t>
  </si>
  <si>
    <t>homes retrofit</t>
  </si>
  <si>
    <t>small business retrofit (sqft)</t>
  </si>
  <si>
    <t>Costs</t>
  </si>
  <si>
    <t>Home ($ / unit)</t>
  </si>
  <si>
    <t>From Lawrence Berkely Study</t>
  </si>
  <si>
    <t>Commercial ($ / sqft)</t>
  </si>
  <si>
    <t>From Pembina $50/ft2 converted to USD</t>
  </si>
  <si>
    <r>
      <t xml:space="preserve">source: </t>
    </r>
    <r>
      <rPr>
        <u/>
        <sz val="10"/>
        <color rgb="FF1155CC"/>
        <rFont val="Arial"/>
        <family val="2"/>
      </rPr>
      <t>Building Energy Retrofit Potential in B.C</t>
    </r>
    <r>
      <rPr>
        <sz val="10"/>
        <color rgb="FF000000"/>
        <rFont val="Arial"/>
        <family val="2"/>
        <scheme val="minor"/>
      </rPr>
      <t>, Pembina Institute, Thought Leader Forum, 2016, Table 2</t>
    </r>
  </si>
  <si>
    <r>
      <t xml:space="preserve">Walker, I., Less, B., &amp; Casquero-Modrego, N. (2023). </t>
    </r>
    <r>
      <rPr>
        <u/>
        <sz val="10"/>
        <color rgb="FF1155CC"/>
        <rFont val="Arial"/>
        <family val="2"/>
      </rPr>
      <t>The Costs of Home Decarbonization in the US</t>
    </r>
    <r>
      <rPr>
        <sz val="10"/>
        <color rgb="FF000000"/>
        <rFont val="Arial"/>
        <family val="2"/>
        <scheme val="minor"/>
      </rPr>
      <t xml:space="preserve">. Lawrence Berkeley National Laboratory. Retrieved from </t>
    </r>
    <r>
      <rPr>
        <u/>
        <sz val="10"/>
        <color rgb="FF1155CC"/>
        <rFont val="Arial"/>
        <family val="2"/>
      </rPr>
      <t>https://escholarship.org/uc/item/2s4768d2</t>
    </r>
  </si>
  <si>
    <t>Guide to Building the Case for Deep Energy Retrofits, RMI, 2012, Appendix</t>
  </si>
  <si>
    <t>Electricity Emission Factor (MT CO2e/MMBTU)</t>
  </si>
  <si>
    <t>Net Zero New Buidlings</t>
  </si>
  <si>
    <t>Total New Units</t>
  </si>
  <si>
    <t>Non Net Zero New Buildings</t>
  </si>
  <si>
    <t>General : Electricity (MMBTU) = (1- Energy Reduction (%)) * Electricity of non Net-Zero Buildings (MMBTU)
'Heating: Electricity (MMBTU) = (1- Thermal energy reduction (%)) * Natural Gas Energy of non Net-Zero Buildings(MMBTU) / COP + (1- Energy Reduction (%)) * Electricity of non Net-Zero Buildings (MMBTU)
(for corresponding County, Building type and End use)</t>
  </si>
  <si>
    <r>
      <rPr>
        <sz val="10"/>
        <color theme="1"/>
        <rFont val="Arial"/>
        <family val="2"/>
      </rPr>
      <t xml:space="preserve">General : </t>
    </r>
    <r>
      <rPr>
        <b/>
        <sz val="10"/>
        <color theme="1"/>
        <rFont val="Arial"/>
        <family val="2"/>
      </rPr>
      <t>Natural Gas Energy (MMBTU)</t>
    </r>
    <r>
      <rPr>
        <sz val="10"/>
        <color theme="1"/>
        <rFont val="Arial"/>
        <family val="2"/>
      </rPr>
      <t xml:space="preserve"> = (1- Energy Reduction (%)) * Natural Gas Energy of non Net-Zero Buildings (MMBTU) 
'Heating: </t>
    </r>
    <r>
      <rPr>
        <b/>
        <sz val="10"/>
        <color theme="1"/>
        <rFont val="Arial"/>
        <family val="2"/>
      </rPr>
      <t>Natural Gas Energy (MMBTU)</t>
    </r>
    <r>
      <rPr>
        <sz val="10"/>
        <color theme="1"/>
        <rFont val="Arial"/>
        <family val="2"/>
      </rPr>
      <t xml:space="preserve"> = (1- Thermal energy reduction (%)) * Natural Gas Energy of non Net-Zero Buildings(MMBTU)
(for corresponding County, Building type and End use)</t>
    </r>
  </si>
  <si>
    <t>Rooftop Solar Gen (MMBTU)</t>
  </si>
  <si>
    <t>Rooftop Solar Capacity Factor</t>
  </si>
  <si>
    <t>Rooftop Solar Capacity (MW)</t>
  </si>
  <si>
    <t>New Builds - Costs</t>
  </si>
  <si>
    <t>New Units (unit / year)</t>
  </si>
  <si>
    <t>Net zero construction cap costs</t>
  </si>
  <si>
    <t>New Rooftop Capacity cap costs</t>
  </si>
  <si>
    <t>Rooftop capacity fixed O&amp;M costs</t>
  </si>
  <si>
    <t>Deep Retrofits - Costs</t>
  </si>
  <si>
    <t>Retrofit cap costs</t>
  </si>
  <si>
    <t>Retrofit cost ($ / retrofit)</t>
  </si>
  <si>
    <t>Incremental Cost ($/ new unit)</t>
  </si>
  <si>
    <t>source: NREL (National Renewable Energy Laboratory). 2023. "2023 Annual Technology Baseline." Golden, CO: National Renewable Energy Laboratory. https://atb.nrel.gov/. , Moderate Scenario, Residential PV - Class 8</t>
  </si>
  <si>
    <t>Electricity Emission Factor (MT CO2e/GWh)</t>
  </si>
  <si>
    <t># new vehicles</t>
  </si>
  <si>
    <t>Route 35</t>
  </si>
  <si>
    <t>The Flyer</t>
  </si>
  <si>
    <t>Displaced PUV VMT</t>
  </si>
  <si>
    <t>Emissions Reduced (MT CO2e)</t>
  </si>
  <si>
    <t>Displaced Vehicle Trips</t>
  </si>
  <si>
    <t>additional ridership / year (person trips / year)</t>
  </si>
  <si>
    <t>avg person miles / trip</t>
  </si>
  <si>
    <t>avg vehicle occupancy</t>
  </si>
  <si>
    <t>vehicle trips displaced</t>
  </si>
  <si>
    <t>VMT displaced</t>
  </si>
  <si>
    <t>car VMT share</t>
  </si>
  <si>
    <t>light truck VMT share</t>
  </si>
  <si>
    <t>buses</t>
  </si>
  <si>
    <t>crown area assumes small stature trees with 5 m crown diameter at maturity</t>
  </si>
  <si>
    <t>Trees Planted</t>
  </si>
  <si>
    <t>Tree canopy at maturity (m2)</t>
  </si>
  <si>
    <t>Carbon Sequestered</t>
  </si>
  <si>
    <t>Carbon Sequestration Factor</t>
  </si>
  <si>
    <t>(metric ton C/hectare/year)</t>
  </si>
  <si>
    <t>Source: EPA State Inventory Tools, Land-Use Land Use Change and Forestry module.</t>
  </si>
  <si>
    <t>Light Duty Vehicles (Gasoline) To Shift to EV</t>
  </si>
  <si>
    <t>Heavy Duty Vehicles (Gasoline) To Shift to EV</t>
  </si>
  <si>
    <t>Reference (MT CO2e)</t>
  </si>
  <si>
    <t>Action (MT CO2e)</t>
  </si>
  <si>
    <t>Reference VMT</t>
  </si>
  <si>
    <t>Electric</t>
  </si>
  <si>
    <t>Baseline Person Trip Distance Class by Mode Shares</t>
  </si>
  <si>
    <t>Baseline Person Trip Mode Shares by Distance Class</t>
  </si>
  <si>
    <t>Distance Class (miles)</t>
  </si>
  <si>
    <r>
      <rPr>
        <sz val="10"/>
        <color theme="1"/>
        <rFont val="Arial"/>
        <family val="2"/>
      </rPr>
      <t>Distance Class (miles) (</t>
    </r>
    <r>
      <rPr>
        <sz val="10"/>
        <color rgb="FF980000"/>
        <rFont val="Arial"/>
        <family val="2"/>
      </rPr>
      <t>Share (%)</t>
    </r>
    <r>
      <rPr>
        <sz val="10"/>
        <color theme="1"/>
        <rFont val="Arial"/>
        <family val="2"/>
      </rPr>
      <t>)</t>
    </r>
  </si>
  <si>
    <t>Mode</t>
  </si>
  <si>
    <t>Baseline Passenger (Gasoline) Million VMT</t>
  </si>
  <si>
    <t>Car</t>
  </si>
  <si>
    <t>LDV type share</t>
  </si>
  <si>
    <t>Baseline Passenger (Gasoline) Million VMT by Distance Class</t>
  </si>
  <si>
    <t>Action Person Trip Mode Shares by Distance Class</t>
  </si>
  <si>
    <t>Target Mode Change</t>
  </si>
  <si>
    <t>Average</t>
  </si>
  <si>
    <t xml:space="preserve">VMT reduction (Million VMT) = Total VMT with Gasoline (Million VMT) - (Total VMT with Gasoline (Million VMT) * Share of VMT by auto After action (%) / Share of VMT by auto Baseline (%) ) </t>
  </si>
  <si>
    <t>Action Passenger (Gasoline) Million VMT Reduction by Distance Class</t>
  </si>
  <si>
    <t>MT CO2e / Million VMT</t>
  </si>
  <si>
    <t>Action Emissions Reduction (MT CO2e / year))</t>
  </si>
  <si>
    <t>2025-2030</t>
  </si>
  <si>
    <t>2025-2050</t>
  </si>
  <si>
    <t>Bike mode elasticity</t>
  </si>
  <si>
    <t>Avg Mode share % change</t>
  </si>
  <si>
    <t>%Change in bikeway length</t>
  </si>
  <si>
    <t>Miles of bikeway</t>
  </si>
  <si>
    <t>Additional Miles</t>
  </si>
  <si>
    <t>LDV Type &amp; Share (%)</t>
  </si>
  <si>
    <t>moto</t>
  </si>
  <si>
    <t>Waste disposal (tons)</t>
  </si>
  <si>
    <t>2024-2030</t>
  </si>
  <si>
    <t>2024-2050</t>
  </si>
  <si>
    <t>Food Waste</t>
  </si>
  <si>
    <t>Yard Trimmings</t>
  </si>
  <si>
    <t>Branches</t>
  </si>
  <si>
    <t>Disposal (ton) - Baseline</t>
  </si>
  <si>
    <t>Food Waste Reduction (%):</t>
  </si>
  <si>
    <t>Disposal (ton) - Project</t>
  </si>
  <si>
    <t>Landfill Emissions - Baseline (MT CO2e)</t>
  </si>
  <si>
    <t>Compost Emissions - Project (MT CO2e)</t>
  </si>
  <si>
    <t>Emissions Reductions</t>
  </si>
  <si>
    <t>Emission Factors (MT CO2e / Short Ton Waste)</t>
  </si>
  <si>
    <t>From WARM Model, Summary Data Sheet</t>
  </si>
  <si>
    <t>Landfilling of Post-Consumer Material: Recovery Assumptions</t>
  </si>
  <si>
    <t>Composting</t>
  </si>
  <si>
    <t>For more information see:</t>
  </si>
  <si>
    <r>
      <t>Documentation for Greenhouse Gas Emission and Energy Factors Used in the Waste Reduction Model (WARM), Organic Materials Chapters (</t>
    </r>
    <r>
      <rPr>
        <u/>
        <sz val="10"/>
        <color rgb="FF1155CC"/>
        <rFont val="Arial"/>
        <family val="2"/>
      </rPr>
      <t>link</t>
    </r>
    <r>
      <rPr>
        <sz val="10"/>
        <color rgb="FF000000"/>
        <rFont val="Arial"/>
        <family val="2"/>
        <scheme val="minor"/>
      </rPr>
      <t>)</t>
    </r>
  </si>
  <si>
    <t>Yes</t>
  </si>
  <si>
    <t>1. Clean Fleets: Light duty fleet gasoline vehicles replaced with electric vehicle</t>
  </si>
  <si>
    <t>Calculation Check</t>
  </si>
  <si>
    <t>GHG (MTCO2e)</t>
  </si>
  <si>
    <t>Avg 2026-2030</t>
  </si>
  <si>
    <t>HC (kg)</t>
  </si>
  <si>
    <t>CO (kg)</t>
  </si>
  <si>
    <t>NOx (kg)</t>
  </si>
  <si>
    <t>Cumulative Emissions Reductions (kg)</t>
  </si>
  <si>
    <t>PM2.5 (kg)</t>
  </si>
  <si>
    <t>2. Virtual Power Plants: Groundmount and rooftop solar PV generation</t>
  </si>
  <si>
    <t>3. Virtual Power Plant Plus: 1,000 Single Family Homes and 100 Small Business Retrofit + Virtual Power Plant Solar Installations</t>
  </si>
  <si>
    <t>Input Parameters</t>
  </si>
  <si>
    <t>Retrofit Emissions Reductions (MT CO2e)</t>
  </si>
  <si>
    <t>Solar Emissions Reductions (MT CO2e)</t>
  </si>
  <si>
    <t>Weatherization (MTCO2e)</t>
  </si>
  <si>
    <t>Solar Installation (MT CO2e)</t>
  </si>
  <si>
    <t>4. Neighborhood Deep Retrofit Program: 300 Single Family Homes Retrofit, 200 Single Family Homes New Construction</t>
  </si>
  <si>
    <t>Retrofit Reductions (MT CO2e)</t>
  </si>
  <si>
    <t>New Build Reductions (MT CO2e)</t>
  </si>
  <si>
    <t>Total Reductions (MT CO2e)</t>
  </si>
  <si>
    <t>Elec EF Scn</t>
  </si>
  <si>
    <t>5. Transit Transformation: New Electric Trolley Route and The Flyer Electrification</t>
  </si>
  <si>
    <t>Route 35 - # New Buses</t>
  </si>
  <si>
    <t>The Flyer - # Replacement Buses</t>
  </si>
  <si>
    <t>Route 35 - ann VMT / bus</t>
  </si>
  <si>
    <t>The Flyer - ann VMT /bus</t>
  </si>
  <si>
    <t>6. Carbon Sequestration: Ecological Restoration, Green Pathways, and Urban Forestry</t>
  </si>
  <si>
    <t>Avg 2034-2050</t>
  </si>
  <si>
    <t>7. Clean Cars for All, 1700 EVs</t>
  </si>
  <si>
    <t>car annual VMT / veh</t>
  </si>
  <si>
    <t>light truck annual VMT / veh</t>
  </si>
  <si>
    <t>8. Active Transportation Infrastructure, Increase walk and bike mode shares by 5%</t>
  </si>
  <si>
    <t>9. Organic Waste Reduction and Sustainable Materials Management, Compost food waste</t>
  </si>
  <si>
    <t>Avg 2024-2030</t>
  </si>
  <si>
    <t>GHG Emissions Reductions (MT CO2e)</t>
  </si>
  <si>
    <t>Clean Fleets</t>
  </si>
  <si>
    <t>Virtual Power Plants</t>
  </si>
  <si>
    <t>Virtual Power Plant Plus</t>
  </si>
  <si>
    <t>Neighborhood Deep Retrofit Program</t>
  </si>
  <si>
    <t>Transit Transformation</t>
  </si>
  <si>
    <t>Carbon Sequestration</t>
  </si>
  <si>
    <t>Clean Cars for All</t>
  </si>
  <si>
    <t>Active Transportation Infrastructure</t>
  </si>
  <si>
    <t>Organic Waste Reduction and Sustainable Materials Management</t>
  </si>
  <si>
    <t>CAP Emissions Reductions (kg)</t>
  </si>
  <si>
    <t>#REF!</t>
  </si>
  <si>
    <t/>
  </si>
  <si>
    <t>Year for Calculations in col Q</t>
  </si>
  <si>
    <t>Calculated values copied to cols D-J for the specified year</t>
  </si>
  <si>
    <t>Emissions Reductions by Project Summary</t>
  </si>
  <si>
    <t>Sheet Name</t>
  </si>
  <si>
    <t>Link</t>
  </si>
  <si>
    <t>Summary Sheets</t>
  </si>
  <si>
    <t>Project Calculations</t>
  </si>
  <si>
    <t>Supporting Data</t>
  </si>
  <si>
    <t>Index</t>
  </si>
  <si>
    <t>Project Reductions Summary</t>
  </si>
  <si>
    <t>Project Reductions Details</t>
  </si>
  <si>
    <t>Project #1 - Clean Fleets</t>
  </si>
  <si>
    <t>Project #2 - Virtual Power Plan</t>
  </si>
  <si>
    <t>Project #3 - Res Building Retro</t>
  </si>
  <si>
    <t>Project #3 - Com Building Retro</t>
  </si>
  <si>
    <t>Project #3 - VPP+ Costs</t>
  </si>
  <si>
    <t>Project #4 - Res Building New B</t>
  </si>
  <si>
    <t>Project #4 - Res Building Retro</t>
  </si>
  <si>
    <t>Project #4 - Deep Nbhd Retrofit</t>
  </si>
  <si>
    <t>Project #5 - Transit Transforma</t>
  </si>
  <si>
    <t>Project #6 - Carbon Sequestrati</t>
  </si>
  <si>
    <t>Project #7 - Clean Cars</t>
  </si>
  <si>
    <t>Project #8 - Active Transportat</t>
  </si>
  <si>
    <t>Project #9 - Organics Diversion</t>
  </si>
  <si>
    <t>Dayton Kettering MSA Summary</t>
  </si>
  <si>
    <t>Dayton Kettering MSA Pop</t>
  </si>
  <si>
    <t>Projections raw data</t>
  </si>
  <si>
    <t>Projections by County</t>
  </si>
  <si>
    <t>Emissions Factors</t>
  </si>
  <si>
    <t>CAP Emissions Factors</t>
  </si>
  <si>
    <t>Clean Fleet Calcs</t>
  </si>
  <si>
    <t>Rooftop Solar</t>
  </si>
  <si>
    <t>Census_data</t>
  </si>
  <si>
    <t>replica trips</t>
  </si>
  <si>
    <t>Replica Building Area</t>
  </si>
  <si>
    <t>new res bld calcs</t>
  </si>
  <si>
    <t>res bld data</t>
  </si>
  <si>
    <t>res bld calcs</t>
  </si>
  <si>
    <t>nres bld data</t>
  </si>
  <si>
    <t>nres bld calcs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</si>
</sst>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0.000%"/>
    <numFmt numFmtId="165" formatCode="#,##0.000"/>
    <numFmt numFmtId="166" formatCode="#,##0.0000000"/>
    <numFmt numFmtId="167" formatCode="#,##0.0"/>
    <numFmt numFmtId="168" formatCode="0.0000"/>
    <numFmt numFmtId="169" formatCode="0.0"/>
    <numFmt numFmtId="170" formatCode="#,##0.00000"/>
    <numFmt numFmtId="171" formatCode="#,##0.000000"/>
    <numFmt numFmtId="172" formatCode="0.0000000"/>
    <numFmt numFmtId="173" formatCode="0.000"/>
    <numFmt numFmtId="174" formatCode="0.0%"/>
    <numFmt numFmtId="175" formatCode="#,##0.0000"/>
    <numFmt numFmtId="176" formatCode="#,##0.00000000"/>
    <numFmt numFmtId="177" formatCode="0.00000"/>
    <numFmt numFmtId="178" formatCode="&quot;$&quot;#,##0"/>
  </numFmts>
  <fonts count="54">
    <font>
      <sz val="10"/>
      <color rgb="FF000000"/>
      <name val="Arial"/>
      <scheme val="minor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rgb="FFFFFFFF"/>
      <name val="Arial"/>
      <family val="2"/>
    </font>
    <font>
      <b/>
      <sz val="10"/>
      <color theme="1"/>
      <name val="Arial"/>
      <family val="2"/>
    </font>
    <font>
      <u/>
      <sz val="10"/>
      <color rgb="FF0000FF"/>
      <name val="Arial"/>
      <family val="2"/>
    </font>
    <font>
      <sz val="10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  <scheme val="minor"/>
    </font>
    <font>
      <b/>
      <i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22B7E6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i/>
      <sz val="11"/>
      <color theme="1"/>
      <name val="Calibri"/>
      <family val="2"/>
    </font>
    <font>
      <u/>
      <sz val="11"/>
      <color rgb="FF000000"/>
      <name val="Calibri"/>
      <family val="2"/>
    </font>
    <font>
      <sz val="10"/>
      <color rgb="FF000000"/>
      <name val="Arial"/>
      <family val="2"/>
    </font>
    <font>
      <u/>
      <sz val="12"/>
      <color rgb="FF1155CC"/>
      <name val="Calibri"/>
      <family val="2"/>
    </font>
    <font>
      <sz val="10"/>
      <color rgb="FFFFFFFF"/>
      <name val="Arial"/>
      <family val="2"/>
      <scheme val="minor"/>
    </font>
    <font>
      <sz val="11"/>
      <color theme="1"/>
      <name val="Calibri"/>
      <family val="2"/>
    </font>
    <font>
      <u/>
      <sz val="10"/>
      <color rgb="FF0000FF"/>
      <name val="Arial"/>
      <family val="2"/>
    </font>
    <font>
      <u/>
      <sz val="10"/>
      <color theme="1"/>
      <name val="Arial"/>
      <family val="2"/>
      <scheme val="minor"/>
    </font>
    <font>
      <u/>
      <sz val="10"/>
      <color theme="1"/>
      <name val="Arial"/>
      <family val="2"/>
      <scheme val="minor"/>
    </font>
    <font>
      <u/>
      <sz val="10"/>
      <color theme="1"/>
      <name val="Arial"/>
      <family val="2"/>
      <scheme val="minor"/>
    </font>
    <font>
      <sz val="9"/>
      <color theme="1"/>
      <name val="Arial"/>
      <family val="2"/>
    </font>
    <font>
      <sz val="12"/>
      <color theme="1"/>
      <name val="Calibri"/>
      <family val="2"/>
    </font>
    <font>
      <i/>
      <sz val="10"/>
      <color theme="1"/>
      <name val="Arial"/>
      <family val="2"/>
      <scheme val="minor"/>
    </font>
    <font>
      <u/>
      <sz val="10"/>
      <color rgb="FF0000FF"/>
      <name val="Arial"/>
      <family val="2"/>
    </font>
    <font>
      <sz val="9"/>
      <color theme="1"/>
      <name val="Arial"/>
      <family val="2"/>
      <scheme val="minor"/>
    </font>
    <font>
      <b/>
      <u/>
      <sz val="11"/>
      <color theme="1"/>
      <name val="Arial"/>
      <family val="2"/>
      <scheme val="minor"/>
    </font>
    <font>
      <b/>
      <i/>
      <sz val="10"/>
      <color theme="1"/>
      <name val="Arial"/>
      <family val="2"/>
    </font>
    <font>
      <b/>
      <i/>
      <sz val="10"/>
      <color theme="1"/>
      <name val="Arial"/>
      <family val="2"/>
      <scheme val="minor"/>
    </font>
    <font>
      <sz val="10"/>
      <color rgb="FF000000"/>
      <name val="&quot;Open Sans&quot;"/>
    </font>
    <font>
      <i/>
      <sz val="11"/>
      <color rgb="FF000000"/>
      <name val="Calibri"/>
      <family val="2"/>
    </font>
    <font>
      <u/>
      <sz val="10"/>
      <color rgb="FF1155CC"/>
      <name val="Arial"/>
      <family val="2"/>
    </font>
    <font>
      <sz val="11"/>
      <color rgb="FF000000"/>
      <name val="Calibri, sans-serif"/>
    </font>
    <font>
      <u/>
      <sz val="11"/>
      <color rgb="FF1155CC"/>
      <name val="Calibri, sans-serif"/>
    </font>
    <font>
      <sz val="10"/>
      <color rgb="FF980000"/>
      <name val="Arial"/>
      <family val="2"/>
    </font>
    <font>
      <sz val="10"/>
      <color theme="0"/>
      <name val="Arial"/>
      <family val="2"/>
      <scheme val="minor"/>
    </font>
    <font>
      <sz val="10"/>
      <color rgb="FF000000"/>
      <name val="Arial"/>
      <family val="2"/>
      <scheme val="minor"/>
    </font>
    <font>
      <u/>
      <sz val="10"/>
      <color theme="10"/>
      <name val="Arial"/>
      <family val="2"/>
      <scheme val="minor"/>
    </font>
    <font>
      <sz val="28"/>
      <color theme="0"/>
      <name val="Arial"/>
      <family val="2"/>
      <scheme val="minor"/>
    </font>
    <font>
      <sz val="20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6"/>
      <color theme="0"/>
      <name val="Calibri"/>
      <family val="2"/>
    </font>
    <font>
      <b/>
      <sz val="10"/>
      <color theme="0"/>
      <name val="Arial"/>
      <family val="2"/>
      <scheme val="minor"/>
    </font>
    <font>
      <b/>
      <sz val="10"/>
      <color theme="0"/>
      <name val="Arial"/>
      <family val="2"/>
    </font>
    <font>
      <b/>
      <sz val="10"/>
      <color rgb="FF000000"/>
      <name val="Arial"/>
      <family val="2"/>
      <scheme val="minor"/>
    </font>
    <font>
      <sz val="16"/>
      <color theme="0"/>
      <name val="Arial"/>
      <family val="2"/>
      <scheme val="minor"/>
    </font>
    <font>
      <b/>
      <sz val="16"/>
      <color theme="0"/>
      <name val="Arial"/>
      <family val="2"/>
      <scheme val="minor"/>
    </font>
    <font>
      <sz val="10"/>
      <name val="Arial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DFE4EC"/>
        <bgColor rgb="FFDFE4EC"/>
      </patternFill>
    </fill>
    <fill>
      <patternFill patternType="solid">
        <fgColor rgb="FF8093B3"/>
        <bgColor rgb="FF8093B3"/>
      </patternFill>
    </fill>
    <fill>
      <patternFill patternType="solid">
        <fgColor rgb="FFF4F6F8"/>
        <bgColor rgb="FFF4F6F8"/>
      </patternFill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rgb="FF92D050"/>
        <bgColor rgb="FF92D050"/>
      </patternFill>
    </fill>
    <fill>
      <patternFill patternType="solid">
        <fgColor rgb="FF22B7E6"/>
        <bgColor rgb="FF22B7E6"/>
      </patternFill>
    </fill>
    <fill>
      <patternFill patternType="solid">
        <fgColor rgb="FFD9D9D9"/>
        <bgColor rgb="FFD9D9D9"/>
      </patternFill>
    </fill>
    <fill>
      <patternFill patternType="solid">
        <fgColor rgb="FFFFFF99"/>
        <bgColor rgb="FFFFFF99"/>
      </patternFill>
    </fill>
    <fill>
      <patternFill patternType="solid">
        <fgColor rgb="FFD9EAD3"/>
        <bgColor rgb="FFD9EAD3"/>
      </patternFill>
    </fill>
    <fill>
      <patternFill patternType="solid">
        <fgColor rgb="FFFFFF00"/>
        <bgColor rgb="FFFFFF00"/>
      </patternFill>
    </fill>
    <fill>
      <patternFill patternType="solid">
        <fgColor rgb="FFF4CCCC"/>
        <bgColor rgb="FFF4CCCC"/>
      </patternFill>
    </fill>
    <fill>
      <patternFill patternType="solid">
        <fgColor rgb="FFFF9900"/>
        <bgColor rgb="FFFF9900"/>
      </patternFill>
    </fill>
    <fill>
      <patternFill patternType="solid">
        <fgColor rgb="FF1C4587"/>
        <bgColor rgb="FF1C4587"/>
      </patternFill>
    </fill>
    <fill>
      <patternFill patternType="solid">
        <fgColor rgb="FFC9DAF8"/>
        <bgColor rgb="FFC9DAF8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67AB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rgb="FFFF9900"/>
      </patternFill>
    </fill>
    <fill>
      <patternFill patternType="solid">
        <fgColor theme="6" tint="0.79998168889431442"/>
        <bgColor rgb="FFFCE5CD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42"/>
        <bgColor rgb="FFD9EAD3"/>
      </patternFill>
    </fill>
  </fills>
  <borders count="50">
    <border>
      <left/>
      <right/>
      <top/>
      <bottom/>
      <diagonal/>
    </border>
    <border>
      <left/>
      <right/>
      <top/>
      <bottom style="thick">
        <color rgb="FF8093B3"/>
      </bottom>
      <diagonal/>
    </border>
    <border>
      <left/>
      <right style="thin">
        <color rgb="FFFFFFFF"/>
      </right>
      <top/>
      <bottom/>
      <diagonal/>
    </border>
    <border>
      <left/>
      <right style="thin">
        <color rgb="FFFFFFFF"/>
      </right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000000"/>
      </left>
      <right/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/>
      <right style="thin">
        <color rgb="FF999999"/>
      </right>
      <top/>
      <bottom style="thin">
        <color rgb="FF999999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ck">
        <color auto="1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43" fillId="0" borderId="0" applyNumberFormat="0" applyFill="0" applyBorder="0" applyAlignment="0" applyProtection="0"/>
  </cellStyleXfs>
  <cellXfs count="307">
    <xf numFmtId="0" fontId="0" fillId="0" borderId="0" xfId="0"/>
    <xf numFmtId="0" fontId="1" fillId="0" borderId="0" xfId="0" applyFont="1"/>
    <xf numFmtId="0" fontId="2" fillId="0" borderId="0" xfId="0" applyFont="1"/>
    <xf numFmtId="0" fontId="3" fillId="2" borderId="0" xfId="0" applyFont="1" applyFill="1"/>
    <xf numFmtId="0" fontId="2" fillId="2" borderId="0" xfId="0" applyFont="1" applyFill="1"/>
    <xf numFmtId="0" fontId="3" fillId="2" borderId="1" xfId="0" applyFont="1" applyFill="1" applyBorder="1"/>
    <xf numFmtId="0" fontId="4" fillId="3" borderId="1" xfId="0" applyFont="1" applyFill="1" applyBorder="1" applyAlignment="1">
      <alignment horizontal="right"/>
    </xf>
    <xf numFmtId="0" fontId="2" fillId="4" borderId="2" xfId="0" applyFont="1" applyFill="1" applyBorder="1"/>
    <xf numFmtId="3" fontId="2" fillId="5" borderId="0" xfId="0" applyNumberFormat="1" applyFont="1" applyFill="1" applyAlignment="1">
      <alignment horizontal="right"/>
    </xf>
    <xf numFmtId="3" fontId="2" fillId="0" borderId="0" xfId="0" applyNumberFormat="1" applyFont="1"/>
    <xf numFmtId="0" fontId="2" fillId="4" borderId="3" xfId="0" applyFont="1" applyFill="1" applyBorder="1"/>
    <xf numFmtId="3" fontId="2" fillId="5" borderId="4" xfId="0" applyNumberFormat="1" applyFont="1" applyFill="1" applyBorder="1" applyAlignment="1">
      <alignment horizontal="right"/>
    </xf>
    <xf numFmtId="0" fontId="5" fillId="2" borderId="0" xfId="0" applyFont="1" applyFill="1"/>
    <xf numFmtId="3" fontId="5" fillId="2" borderId="0" xfId="0" applyNumberFormat="1" applyFont="1" applyFill="1" applyAlignment="1">
      <alignment horizontal="right"/>
    </xf>
    <xf numFmtId="3" fontId="3" fillId="2" borderId="0" xfId="0" applyNumberFormat="1" applyFont="1" applyFill="1"/>
    <xf numFmtId="0" fontId="4" fillId="3" borderId="1" xfId="0" applyFont="1" applyFill="1" applyBorder="1"/>
    <xf numFmtId="0" fontId="2" fillId="5" borderId="0" xfId="0" applyFont="1" applyFill="1" applyAlignment="1">
      <alignment horizontal="right"/>
    </xf>
    <xf numFmtId="0" fontId="2" fillId="5" borderId="4" xfId="0" applyFont="1" applyFill="1" applyBorder="1" applyAlignment="1">
      <alignment horizontal="right"/>
    </xf>
    <xf numFmtId="0" fontId="5" fillId="2" borderId="0" xfId="0" applyFont="1" applyFill="1" applyAlignment="1">
      <alignment horizontal="right"/>
    </xf>
    <xf numFmtId="0" fontId="6" fillId="0" borderId="0" xfId="0" applyFont="1"/>
    <xf numFmtId="0" fontId="7" fillId="0" borderId="0" xfId="0" applyFont="1"/>
    <xf numFmtId="3" fontId="7" fillId="0" borderId="0" xfId="0" applyNumberFormat="1" applyFont="1"/>
    <xf numFmtId="10" fontId="7" fillId="0" borderId="0" xfId="0" applyNumberFormat="1" applyFont="1"/>
    <xf numFmtId="0" fontId="2" fillId="0" borderId="0" xfId="0" applyFont="1" applyAlignment="1">
      <alignment horizontal="right"/>
    </xf>
    <xf numFmtId="3" fontId="2" fillId="0" borderId="0" xfId="0" applyNumberFormat="1" applyFont="1" applyAlignment="1">
      <alignment horizontal="right"/>
    </xf>
    <xf numFmtId="4" fontId="7" fillId="0" borderId="0" xfId="0" applyNumberFormat="1" applyFont="1"/>
    <xf numFmtId="165" fontId="7" fillId="0" borderId="0" xfId="0" applyNumberFormat="1" applyFont="1"/>
    <xf numFmtId="10" fontId="2" fillId="0" borderId="0" xfId="0" applyNumberFormat="1" applyFont="1" applyAlignment="1">
      <alignment horizontal="right"/>
    </xf>
    <xf numFmtId="166" fontId="2" fillId="0" borderId="0" xfId="0" applyNumberFormat="1" applyFont="1"/>
    <xf numFmtId="0" fontId="8" fillId="0" borderId="0" xfId="0" applyFont="1"/>
    <xf numFmtId="0" fontId="5" fillId="6" borderId="5" xfId="0" applyFont="1" applyFill="1" applyBorder="1"/>
    <xf numFmtId="0" fontId="5" fillId="6" borderId="5" xfId="0" applyFont="1" applyFill="1" applyBorder="1" applyAlignment="1">
      <alignment horizontal="right"/>
    </xf>
    <xf numFmtId="0" fontId="7" fillId="0" borderId="6" xfId="0" applyFont="1" applyBorder="1" applyAlignment="1">
      <alignment vertical="top"/>
    </xf>
    <xf numFmtId="0" fontId="2" fillId="0" borderId="7" xfId="0" applyFont="1" applyBorder="1" applyAlignment="1">
      <alignment vertical="top"/>
    </xf>
    <xf numFmtId="0" fontId="2" fillId="0" borderId="5" xfId="0" applyFont="1" applyBorder="1"/>
    <xf numFmtId="3" fontId="7" fillId="0" borderId="5" xfId="0" applyNumberFormat="1" applyFont="1" applyBorder="1"/>
    <xf numFmtId="10" fontId="7" fillId="0" borderId="5" xfId="0" applyNumberFormat="1" applyFont="1" applyBorder="1"/>
    <xf numFmtId="0" fontId="7" fillId="0" borderId="5" xfId="0" applyFont="1" applyBorder="1"/>
    <xf numFmtId="0" fontId="2" fillId="0" borderId="5" xfId="0" applyFont="1" applyBorder="1" applyAlignment="1">
      <alignment vertical="top"/>
    </xf>
    <xf numFmtId="0" fontId="7" fillId="0" borderId="5" xfId="0" applyFont="1" applyBorder="1" applyAlignment="1">
      <alignment vertical="top"/>
    </xf>
    <xf numFmtId="0" fontId="7" fillId="0" borderId="6" xfId="0" applyFont="1" applyBorder="1"/>
    <xf numFmtId="0" fontId="7" fillId="0" borderId="10" xfId="0" applyFont="1" applyBorder="1"/>
    <xf numFmtId="0" fontId="10" fillId="0" borderId="11" xfId="0" applyFont="1" applyBorder="1"/>
    <xf numFmtId="0" fontId="10" fillId="0" borderId="12" xfId="0" applyFont="1" applyBorder="1"/>
    <xf numFmtId="10" fontId="10" fillId="0" borderId="13" xfId="0" applyNumberFormat="1" applyFont="1" applyBorder="1"/>
    <xf numFmtId="0" fontId="10" fillId="0" borderId="0" xfId="0" applyFont="1"/>
    <xf numFmtId="167" fontId="7" fillId="0" borderId="0" xfId="0" applyNumberFormat="1" applyFont="1"/>
    <xf numFmtId="0" fontId="11" fillId="0" borderId="0" xfId="0" applyFont="1"/>
    <xf numFmtId="0" fontId="12" fillId="0" borderId="0" xfId="0" applyFont="1"/>
    <xf numFmtId="0" fontId="11" fillId="0" borderId="6" xfId="0" applyFont="1" applyBorder="1"/>
    <xf numFmtId="0" fontId="12" fillId="0" borderId="6" xfId="0" applyFont="1" applyBorder="1"/>
    <xf numFmtId="0" fontId="13" fillId="0" borderId="12" xfId="0" applyFont="1" applyBorder="1"/>
    <xf numFmtId="0" fontId="13" fillId="0" borderId="14" xfId="0" applyFont="1" applyBorder="1"/>
    <xf numFmtId="3" fontId="10" fillId="0" borderId="14" xfId="0" applyNumberFormat="1" applyFont="1" applyBorder="1"/>
    <xf numFmtId="0" fontId="14" fillId="0" borderId="15" xfId="0" applyFont="1" applyBorder="1"/>
    <xf numFmtId="168" fontId="7" fillId="0" borderId="0" xfId="0" applyNumberFormat="1" applyFont="1"/>
    <xf numFmtId="0" fontId="13" fillId="0" borderId="16" xfId="0" applyFont="1" applyBorder="1"/>
    <xf numFmtId="0" fontId="13" fillId="0" borderId="17" xfId="0" applyFont="1" applyBorder="1"/>
    <xf numFmtId="0" fontId="13" fillId="0" borderId="18" xfId="0" applyFont="1" applyBorder="1"/>
    <xf numFmtId="0" fontId="13" fillId="0" borderId="19" xfId="0" applyFont="1" applyBorder="1"/>
    <xf numFmtId="0" fontId="13" fillId="0" borderId="13" xfId="0" applyFont="1" applyBorder="1"/>
    <xf numFmtId="0" fontId="15" fillId="0" borderId="15" xfId="0" applyFont="1" applyBorder="1" applyAlignment="1">
      <alignment horizontal="left" vertical="top"/>
    </xf>
    <xf numFmtId="0" fontId="16" fillId="0" borderId="13" xfId="0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13" fillId="0" borderId="15" xfId="0" applyFont="1" applyBorder="1"/>
    <xf numFmtId="0" fontId="12" fillId="0" borderId="14" xfId="0" applyFont="1" applyBorder="1" applyAlignment="1">
      <alignment horizontal="right"/>
    </xf>
    <xf numFmtId="0" fontId="12" fillId="0" borderId="17" xfId="0" applyFont="1" applyBorder="1" applyAlignment="1">
      <alignment horizontal="right"/>
    </xf>
    <xf numFmtId="0" fontId="12" fillId="0" borderId="14" xfId="0" applyFont="1" applyBorder="1"/>
    <xf numFmtId="0" fontId="12" fillId="5" borderId="14" xfId="0" applyFont="1" applyFill="1" applyBorder="1"/>
    <xf numFmtId="0" fontId="12" fillId="5" borderId="14" xfId="0" applyFont="1" applyFill="1" applyBorder="1" applyAlignment="1">
      <alignment horizontal="right"/>
    </xf>
    <xf numFmtId="0" fontId="16" fillId="0" borderId="14" xfId="0" applyFont="1" applyBorder="1" applyAlignment="1">
      <alignment horizontal="left" vertical="top"/>
    </xf>
    <xf numFmtId="0" fontId="16" fillId="0" borderId="14" xfId="0" applyFont="1" applyBorder="1" applyAlignment="1">
      <alignment horizontal="left" vertical="top" wrapText="1"/>
    </xf>
    <xf numFmtId="0" fontId="7" fillId="0" borderId="14" xfId="0" applyFont="1" applyBorder="1"/>
    <xf numFmtId="0" fontId="7" fillId="0" borderId="0" xfId="0" applyFont="1" applyAlignment="1">
      <alignment horizontal="right"/>
    </xf>
    <xf numFmtId="169" fontId="7" fillId="0" borderId="0" xfId="0" applyNumberFormat="1" applyFont="1"/>
    <xf numFmtId="2" fontId="7" fillId="0" borderId="0" xfId="0" applyNumberFormat="1" applyFont="1"/>
    <xf numFmtId="0" fontId="13" fillId="0" borderId="20" xfId="0" applyFont="1" applyBorder="1"/>
    <xf numFmtId="0" fontId="12" fillId="0" borderId="21" xfId="0" applyFont="1" applyBorder="1" applyAlignment="1">
      <alignment horizontal="left"/>
    </xf>
    <xf numFmtId="0" fontId="12" fillId="0" borderId="22" xfId="0" applyFont="1" applyBorder="1" applyAlignment="1">
      <alignment horizontal="right"/>
    </xf>
    <xf numFmtId="0" fontId="12" fillId="0" borderId="25" xfId="0" applyFont="1" applyBorder="1"/>
    <xf numFmtId="0" fontId="17" fillId="7" borderId="26" xfId="0" applyFont="1" applyFill="1" applyBorder="1" applyAlignment="1">
      <alignment horizontal="right"/>
    </xf>
    <xf numFmtId="0" fontId="17" fillId="5" borderId="26" xfId="0" applyFont="1" applyFill="1" applyBorder="1" applyAlignment="1">
      <alignment horizontal="right"/>
    </xf>
    <xf numFmtId="0" fontId="17" fillId="8" borderId="27" xfId="0" applyFont="1" applyFill="1" applyBorder="1" applyAlignment="1">
      <alignment horizontal="right"/>
    </xf>
    <xf numFmtId="0" fontId="13" fillId="0" borderId="0" xfId="0" applyFont="1"/>
    <xf numFmtId="0" fontId="13" fillId="0" borderId="0" xfId="0" applyFont="1" applyAlignment="1">
      <alignment horizontal="center"/>
    </xf>
    <xf numFmtId="4" fontId="12" fillId="5" borderId="14" xfId="0" applyNumberFormat="1" applyFont="1" applyFill="1" applyBorder="1"/>
    <xf numFmtId="0" fontId="12" fillId="5" borderId="17" xfId="0" applyFont="1" applyFill="1" applyBorder="1"/>
    <xf numFmtId="4" fontId="12" fillId="9" borderId="17" xfId="0" applyNumberFormat="1" applyFont="1" applyFill="1" applyBorder="1" applyAlignment="1">
      <alignment horizontal="center"/>
    </xf>
    <xf numFmtId="0" fontId="12" fillId="10" borderId="17" xfId="0" applyFont="1" applyFill="1" applyBorder="1" applyAlignment="1">
      <alignment horizontal="right"/>
    </xf>
    <xf numFmtId="0" fontId="12" fillId="0" borderId="15" xfId="0" applyFont="1" applyBorder="1"/>
    <xf numFmtId="0" fontId="12" fillId="10" borderId="13" xfId="0" applyFont="1" applyFill="1" applyBorder="1" applyAlignment="1">
      <alignment horizontal="right"/>
    </xf>
    <xf numFmtId="0" fontId="18" fillId="0" borderId="0" xfId="0" applyFont="1"/>
    <xf numFmtId="170" fontId="7" fillId="0" borderId="0" xfId="0" applyNumberFormat="1" applyFont="1"/>
    <xf numFmtId="171" fontId="7" fillId="0" borderId="0" xfId="0" applyNumberFormat="1" applyFont="1"/>
    <xf numFmtId="172" fontId="7" fillId="0" borderId="0" xfId="0" applyNumberFormat="1" applyFont="1"/>
    <xf numFmtId="173" fontId="7" fillId="0" borderId="0" xfId="0" applyNumberFormat="1" applyFont="1"/>
    <xf numFmtId="0" fontId="19" fillId="5" borderId="0" xfId="0" applyFont="1" applyFill="1" applyAlignment="1">
      <alignment horizontal="right"/>
    </xf>
    <xf numFmtId="1" fontId="7" fillId="0" borderId="0" xfId="0" applyNumberFormat="1" applyFont="1"/>
    <xf numFmtId="174" fontId="2" fillId="0" borderId="0" xfId="0" applyNumberFormat="1" applyFont="1"/>
    <xf numFmtId="0" fontId="20" fillId="0" borderId="0" xfId="0" applyFont="1"/>
    <xf numFmtId="173" fontId="2" fillId="0" borderId="0" xfId="0" applyNumberFormat="1" applyFont="1"/>
    <xf numFmtId="0" fontId="2" fillId="0" borderId="0" xfId="0" applyFont="1" applyAlignment="1">
      <alignment horizontal="center"/>
    </xf>
    <xf numFmtId="167" fontId="2" fillId="0" borderId="0" xfId="0" applyNumberFormat="1" applyFont="1" applyAlignment="1">
      <alignment horizontal="right"/>
    </xf>
    <xf numFmtId="2" fontId="2" fillId="0" borderId="0" xfId="0" applyNumberFormat="1" applyFont="1"/>
    <xf numFmtId="175" fontId="2" fillId="0" borderId="0" xfId="0" applyNumberFormat="1" applyFont="1" applyAlignment="1">
      <alignment horizontal="right"/>
    </xf>
    <xf numFmtId="1" fontId="2" fillId="0" borderId="0" xfId="0" applyNumberFormat="1" applyFont="1" applyAlignment="1">
      <alignment horizontal="right"/>
    </xf>
    <xf numFmtId="176" fontId="2" fillId="0" borderId="0" xfId="0" applyNumberFormat="1" applyFont="1" applyAlignment="1">
      <alignment horizontal="right"/>
    </xf>
    <xf numFmtId="4" fontId="2" fillId="0" borderId="0" xfId="0" applyNumberFormat="1" applyFont="1"/>
    <xf numFmtId="0" fontId="21" fillId="0" borderId="0" xfId="0" applyFont="1"/>
    <xf numFmtId="177" fontId="7" fillId="0" borderId="0" xfId="0" applyNumberFormat="1" applyFont="1"/>
    <xf numFmtId="0" fontId="22" fillId="0" borderId="0" xfId="0" applyFont="1"/>
    <xf numFmtId="3" fontId="22" fillId="0" borderId="0" xfId="0" applyNumberFormat="1" applyFont="1" applyAlignment="1">
      <alignment horizontal="right"/>
    </xf>
    <xf numFmtId="0" fontId="23" fillId="0" borderId="0" xfId="0" applyFont="1"/>
    <xf numFmtId="0" fontId="24" fillId="0" borderId="0" xfId="0" applyFont="1"/>
    <xf numFmtId="0" fontId="25" fillId="0" borderId="0" xfId="0" applyFont="1"/>
    <xf numFmtId="9" fontId="26" fillId="0" borderId="0" xfId="0" applyNumberFormat="1" applyFont="1"/>
    <xf numFmtId="9" fontId="7" fillId="0" borderId="0" xfId="0" applyNumberFormat="1" applyFont="1"/>
    <xf numFmtId="0" fontId="7" fillId="11" borderId="0" xfId="0" applyFont="1" applyFill="1"/>
    <xf numFmtId="0" fontId="7" fillId="12" borderId="0" xfId="0" applyFont="1" applyFill="1"/>
    <xf numFmtId="175" fontId="7" fillId="0" borderId="0" xfId="0" applyNumberFormat="1" applyFont="1"/>
    <xf numFmtId="9" fontId="7" fillId="13" borderId="0" xfId="0" applyNumberFormat="1" applyFont="1" applyFill="1"/>
    <xf numFmtId="0" fontId="7" fillId="13" borderId="0" xfId="0" applyFont="1" applyFill="1"/>
    <xf numFmtId="0" fontId="19" fillId="5" borderId="0" xfId="0" applyFont="1" applyFill="1" applyAlignment="1">
      <alignment horizontal="left"/>
    </xf>
    <xf numFmtId="0" fontId="7" fillId="14" borderId="0" xfId="0" quotePrefix="1" applyFont="1" applyFill="1"/>
    <xf numFmtId="3" fontId="21" fillId="0" borderId="0" xfId="0" applyNumberFormat="1" applyFont="1"/>
    <xf numFmtId="3" fontId="7" fillId="11" borderId="0" xfId="0" applyNumberFormat="1" applyFont="1" applyFill="1"/>
    <xf numFmtId="0" fontId="7" fillId="0" borderId="0" xfId="0" applyFont="1" applyAlignment="1">
      <alignment horizontal="left"/>
    </xf>
    <xf numFmtId="178" fontId="7" fillId="0" borderId="0" xfId="0" applyNumberFormat="1" applyFont="1"/>
    <xf numFmtId="3" fontId="7" fillId="0" borderId="0" xfId="0" applyNumberFormat="1" applyFont="1" applyAlignment="1">
      <alignment horizontal="right"/>
    </xf>
    <xf numFmtId="0" fontId="2" fillId="11" borderId="0" xfId="0" applyFont="1" applyFill="1"/>
    <xf numFmtId="0" fontId="27" fillId="0" borderId="0" xfId="0" applyFont="1"/>
    <xf numFmtId="3" fontId="4" fillId="0" borderId="0" xfId="0" applyNumberFormat="1" applyFont="1"/>
    <xf numFmtId="3" fontId="4" fillId="15" borderId="0" xfId="0" applyNumberFormat="1" applyFont="1" applyFill="1"/>
    <xf numFmtId="165" fontId="2" fillId="0" borderId="0" xfId="0" applyNumberFormat="1" applyFont="1" applyAlignment="1">
      <alignment horizontal="right"/>
    </xf>
    <xf numFmtId="0" fontId="28" fillId="0" borderId="0" xfId="0" applyFont="1"/>
    <xf numFmtId="165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67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3" fillId="0" borderId="0" xfId="0" applyFont="1"/>
    <xf numFmtId="0" fontId="29" fillId="0" borderId="0" xfId="0" applyFont="1"/>
    <xf numFmtId="167" fontId="2" fillId="0" borderId="0" xfId="0" applyNumberFormat="1" applyFont="1"/>
    <xf numFmtId="178" fontId="2" fillId="0" borderId="0" xfId="0" applyNumberFormat="1" applyFont="1"/>
    <xf numFmtId="0" fontId="30" fillId="0" borderId="0" xfId="0" applyFont="1"/>
    <xf numFmtId="168" fontId="2" fillId="0" borderId="0" xfId="0" applyNumberFormat="1" applyFont="1"/>
    <xf numFmtId="9" fontId="7" fillId="0" borderId="0" xfId="0" applyNumberFormat="1" applyFont="1" applyAlignment="1">
      <alignment horizontal="right"/>
    </xf>
    <xf numFmtId="3" fontId="21" fillId="15" borderId="0" xfId="0" applyNumberFormat="1" applyFont="1" applyFill="1"/>
    <xf numFmtId="0" fontId="21" fillId="15" borderId="0" xfId="0" applyFont="1" applyFill="1"/>
    <xf numFmtId="0" fontId="7" fillId="0" borderId="28" xfId="0" applyFont="1" applyBorder="1"/>
    <xf numFmtId="3" fontId="7" fillId="0" borderId="29" xfId="0" applyNumberFormat="1" applyFont="1" applyBorder="1"/>
    <xf numFmtId="3" fontId="7" fillId="0" borderId="30" xfId="0" applyNumberFormat="1" applyFont="1" applyBorder="1"/>
    <xf numFmtId="0" fontId="7" fillId="0" borderId="11" xfId="0" applyFont="1" applyBorder="1"/>
    <xf numFmtId="3" fontId="7" fillId="0" borderId="12" xfId="0" applyNumberFormat="1" applyFont="1" applyBorder="1"/>
    <xf numFmtId="3" fontId="7" fillId="0" borderId="13" xfId="0" applyNumberFormat="1" applyFont="1" applyBorder="1"/>
    <xf numFmtId="3" fontId="10" fillId="0" borderId="0" xfId="0" applyNumberFormat="1" applyFont="1"/>
    <xf numFmtId="10" fontId="10" fillId="0" borderId="0" xfId="0" applyNumberFormat="1" applyFont="1"/>
    <xf numFmtId="0" fontId="10" fillId="16" borderId="0" xfId="0" applyFont="1" applyFill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32" fillId="0" borderId="0" xfId="0" applyFont="1"/>
    <xf numFmtId="4" fontId="7" fillId="0" borderId="0" xfId="0" applyNumberFormat="1" applyFont="1" applyAlignment="1">
      <alignment horizontal="right"/>
    </xf>
    <xf numFmtId="3" fontId="7" fillId="0" borderId="10" xfId="0" applyNumberFormat="1" applyFont="1" applyBorder="1"/>
    <xf numFmtId="0" fontId="33" fillId="0" borderId="0" xfId="0" applyFont="1"/>
    <xf numFmtId="0" fontId="34" fillId="0" borderId="0" xfId="0" applyFont="1"/>
    <xf numFmtId="0" fontId="12" fillId="0" borderId="0" xfId="0" applyFont="1" applyAlignment="1">
      <alignment horizontal="right"/>
    </xf>
    <xf numFmtId="0" fontId="29" fillId="0" borderId="0" xfId="0" applyFont="1" applyAlignment="1">
      <alignment horizontal="center"/>
    </xf>
    <xf numFmtId="177" fontId="2" fillId="0" borderId="0" xfId="0" applyNumberFormat="1" applyFont="1" applyAlignment="1">
      <alignment horizontal="right"/>
    </xf>
    <xf numFmtId="9" fontId="7" fillId="11" borderId="0" xfId="0" applyNumberFormat="1" applyFont="1" applyFill="1"/>
    <xf numFmtId="0" fontId="7" fillId="0" borderId="0" xfId="0" applyFont="1" applyAlignment="1">
      <alignment wrapText="1"/>
    </xf>
    <xf numFmtId="174" fontId="7" fillId="0" borderId="0" xfId="0" applyNumberFormat="1" applyFont="1"/>
    <xf numFmtId="3" fontId="10" fillId="0" borderId="0" xfId="0" applyNumberFormat="1" applyFont="1" applyAlignment="1">
      <alignment horizontal="right"/>
    </xf>
    <xf numFmtId="3" fontId="7" fillId="0" borderId="0" xfId="0" applyNumberFormat="1" applyFont="1" applyAlignment="1">
      <alignment horizontal="center"/>
    </xf>
    <xf numFmtId="173" fontId="2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2" fillId="11" borderId="0" xfId="0" applyFont="1" applyFill="1" applyAlignment="1">
      <alignment horizontal="right"/>
    </xf>
    <xf numFmtId="3" fontId="2" fillId="11" borderId="0" xfId="0" applyNumberFormat="1" applyFont="1" applyFill="1" applyAlignment="1">
      <alignment horizontal="right"/>
    </xf>
    <xf numFmtId="3" fontId="2" fillId="15" borderId="0" xfId="0" applyNumberFormat="1" applyFont="1" applyFill="1"/>
    <xf numFmtId="0" fontId="5" fillId="16" borderId="0" xfId="0" applyFont="1" applyFill="1" applyAlignment="1">
      <alignment horizontal="center"/>
    </xf>
    <xf numFmtId="178" fontId="2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right"/>
    </xf>
    <xf numFmtId="9" fontId="2" fillId="11" borderId="0" xfId="0" applyNumberFormat="1" applyFont="1" applyFill="1" applyAlignment="1">
      <alignment horizontal="right"/>
    </xf>
    <xf numFmtId="0" fontId="0" fillId="0" borderId="31" xfId="0" applyBorder="1"/>
    <xf numFmtId="0" fontId="0" fillId="0" borderId="32" xfId="0" applyBorder="1"/>
    <xf numFmtId="0" fontId="0" fillId="0" borderId="31" xfId="0" pivotButton="1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9" xfId="0" applyBorder="1"/>
    <xf numFmtId="0" fontId="0" fillId="0" borderId="40" xfId="0" applyBorder="1"/>
    <xf numFmtId="2" fontId="2" fillId="0" borderId="0" xfId="0" applyNumberFormat="1" applyFont="1" applyAlignment="1">
      <alignment horizontal="right"/>
    </xf>
    <xf numFmtId="0" fontId="41" fillId="0" borderId="0" xfId="0" applyFont="1"/>
    <xf numFmtId="0" fontId="41" fillId="0" borderId="43" xfId="0" applyFont="1" applyBorder="1"/>
    <xf numFmtId="0" fontId="0" fillId="0" borderId="44" xfId="0" applyBorder="1"/>
    <xf numFmtId="0" fontId="2" fillId="17" borderId="0" xfId="0" applyFont="1" applyFill="1"/>
    <xf numFmtId="0" fontId="42" fillId="17" borderId="0" xfId="0" applyFont="1" applyFill="1"/>
    <xf numFmtId="0" fontId="0" fillId="19" borderId="0" xfId="0" applyFill="1"/>
    <xf numFmtId="0" fontId="43" fillId="0" borderId="0" xfId="1"/>
    <xf numFmtId="0" fontId="46" fillId="19" borderId="0" xfId="0" applyFont="1" applyFill="1"/>
    <xf numFmtId="0" fontId="41" fillId="20" borderId="0" xfId="0" applyFont="1" applyFill="1"/>
    <xf numFmtId="0" fontId="42" fillId="21" borderId="0" xfId="0" applyFont="1" applyFill="1"/>
    <xf numFmtId="0" fontId="0" fillId="21" borderId="0" xfId="0" applyFill="1"/>
    <xf numFmtId="0" fontId="42" fillId="22" borderId="0" xfId="0" applyFont="1" applyFill="1"/>
    <xf numFmtId="0" fontId="0" fillId="22" borderId="0" xfId="0" applyFill="1"/>
    <xf numFmtId="0" fontId="27" fillId="24" borderId="0" xfId="0" quotePrefix="1" applyFont="1" applyFill="1" applyAlignment="1">
      <alignment wrapText="1"/>
    </xf>
    <xf numFmtId="0" fontId="27" fillId="24" borderId="0" xfId="0" quotePrefix="1" applyFont="1" applyFill="1" applyAlignment="1">
      <alignment horizontal="center" wrapText="1"/>
    </xf>
    <xf numFmtId="0" fontId="7" fillId="23" borderId="0" xfId="0" quotePrefix="1" applyFont="1" applyFill="1"/>
    <xf numFmtId="0" fontId="0" fillId="0" borderId="31" xfId="0" applyNumberFormat="1" applyBorder="1"/>
    <xf numFmtId="0" fontId="0" fillId="0" borderId="34" xfId="0" applyNumberFormat="1" applyBorder="1"/>
    <xf numFmtId="0" fontId="0" fillId="0" borderId="35" xfId="0" applyNumberFormat="1" applyBorder="1"/>
    <xf numFmtId="0" fontId="0" fillId="0" borderId="37" xfId="0" applyNumberFormat="1" applyBorder="1"/>
    <xf numFmtId="0" fontId="0" fillId="0" borderId="0" xfId="0" applyNumberFormat="1"/>
    <xf numFmtId="0" fontId="0" fillId="0" borderId="38" xfId="0" applyNumberFormat="1" applyBorder="1"/>
    <xf numFmtId="0" fontId="0" fillId="0" borderId="40" xfId="0" applyNumberFormat="1" applyBorder="1"/>
    <xf numFmtId="0" fontId="0" fillId="0" borderId="41" xfId="0" applyNumberFormat="1" applyBorder="1"/>
    <xf numFmtId="0" fontId="0" fillId="0" borderId="42" xfId="0" applyNumberFormat="1" applyBorder="1"/>
    <xf numFmtId="0" fontId="47" fillId="25" borderId="0" xfId="0" applyFont="1" applyFill="1" applyAlignment="1">
      <alignment vertical="center"/>
    </xf>
    <xf numFmtId="0" fontId="0" fillId="0" borderId="46" xfId="0" applyBorder="1"/>
    <xf numFmtId="0" fontId="7" fillId="0" borderId="46" xfId="0" applyFont="1" applyBorder="1" applyAlignment="1">
      <alignment horizontal="right"/>
    </xf>
    <xf numFmtId="0" fontId="7" fillId="0" borderId="47" xfId="0" applyFont="1" applyBorder="1"/>
    <xf numFmtId="0" fontId="0" fillId="0" borderId="47" xfId="0" applyBorder="1"/>
    <xf numFmtId="0" fontId="48" fillId="26" borderId="0" xfId="0" applyFont="1" applyFill="1"/>
    <xf numFmtId="0" fontId="7" fillId="27" borderId="0" xfId="0" applyFont="1" applyFill="1"/>
    <xf numFmtId="0" fontId="19" fillId="28" borderId="0" xfId="0" applyFont="1" applyFill="1" applyAlignment="1">
      <alignment horizontal="left"/>
    </xf>
    <xf numFmtId="0" fontId="0" fillId="27" borderId="0" xfId="0" applyFill="1"/>
    <xf numFmtId="3" fontId="7" fillId="0" borderId="47" xfId="0" applyNumberFormat="1" applyFont="1" applyBorder="1"/>
    <xf numFmtId="0" fontId="7" fillId="0" borderId="48" xfId="0" applyFont="1" applyBorder="1"/>
    <xf numFmtId="0" fontId="7" fillId="29" borderId="49" xfId="0" applyFont="1" applyFill="1" applyBorder="1"/>
    <xf numFmtId="0" fontId="7" fillId="11" borderId="47" xfId="0" applyFont="1" applyFill="1" applyBorder="1"/>
    <xf numFmtId="3" fontId="7" fillId="11" borderId="47" xfId="0" applyNumberFormat="1" applyFont="1" applyFill="1" applyBorder="1"/>
    <xf numFmtId="0" fontId="10" fillId="30" borderId="0" xfId="0" applyFont="1" applyFill="1"/>
    <xf numFmtId="0" fontId="0" fillId="30" borderId="0" xfId="0" applyFill="1"/>
    <xf numFmtId="0" fontId="41" fillId="25" borderId="0" xfId="0" applyFont="1" applyFill="1" applyAlignment="1">
      <alignment vertical="center"/>
    </xf>
    <xf numFmtId="0" fontId="2" fillId="0" borderId="47" xfId="0" applyFont="1" applyBorder="1" applyAlignment="1">
      <alignment horizontal="right"/>
    </xf>
    <xf numFmtId="0" fontId="2" fillId="0" borderId="47" xfId="0" applyFont="1" applyBorder="1"/>
    <xf numFmtId="0" fontId="7" fillId="0" borderId="47" xfId="0" applyFont="1" applyBorder="1" applyAlignment="1">
      <alignment horizontal="right"/>
    </xf>
    <xf numFmtId="165" fontId="2" fillId="11" borderId="47" xfId="0" applyNumberFormat="1" applyFont="1" applyFill="1" applyBorder="1" applyAlignment="1">
      <alignment horizontal="right"/>
    </xf>
    <xf numFmtId="3" fontId="7" fillId="0" borderId="47" xfId="0" applyNumberFormat="1" applyFont="1" applyBorder="1" applyAlignment="1">
      <alignment horizontal="right"/>
    </xf>
    <xf numFmtId="165" fontId="2" fillId="0" borderId="47" xfId="0" applyNumberFormat="1" applyFont="1" applyBorder="1" applyAlignment="1">
      <alignment horizontal="right"/>
    </xf>
    <xf numFmtId="167" fontId="2" fillId="0" borderId="47" xfId="0" applyNumberFormat="1" applyFont="1" applyBorder="1" applyAlignment="1">
      <alignment horizontal="right"/>
    </xf>
    <xf numFmtId="3" fontId="2" fillId="0" borderId="47" xfId="0" applyNumberFormat="1" applyFont="1" applyBorder="1"/>
    <xf numFmtId="3" fontId="2" fillId="0" borderId="47" xfId="0" applyNumberFormat="1" applyFont="1" applyBorder="1" applyAlignment="1">
      <alignment horizontal="right"/>
    </xf>
    <xf numFmtId="3" fontId="49" fillId="31" borderId="0" xfId="0" applyNumberFormat="1" applyFont="1" applyFill="1"/>
    <xf numFmtId="0" fontId="49" fillId="31" borderId="0" xfId="0" applyFont="1" applyFill="1" applyAlignment="1">
      <alignment horizontal="right"/>
    </xf>
    <xf numFmtId="0" fontId="5" fillId="30" borderId="0" xfId="0" applyFont="1" applyFill="1"/>
    <xf numFmtId="3" fontId="5" fillId="30" borderId="0" xfId="0" applyNumberFormat="1" applyFont="1" applyFill="1"/>
    <xf numFmtId="0" fontId="50" fillId="30" borderId="0" xfId="0" applyFont="1" applyFill="1"/>
    <xf numFmtId="0" fontId="52" fillId="25" borderId="0" xfId="0" applyFont="1" applyFill="1" applyAlignment="1">
      <alignment vertical="center"/>
    </xf>
    <xf numFmtId="0" fontId="48" fillId="25" borderId="0" xfId="0" applyFont="1" applyFill="1" applyAlignment="1">
      <alignment vertical="center"/>
    </xf>
    <xf numFmtId="0" fontId="48" fillId="31" borderId="0" xfId="0" applyFont="1" applyFill="1" applyAlignment="1">
      <alignment horizontal="right"/>
    </xf>
    <xf numFmtId="0" fontId="48" fillId="31" borderId="0" xfId="0" applyFont="1" applyFill="1"/>
    <xf numFmtId="0" fontId="5" fillId="30" borderId="0" xfId="0" applyFont="1" applyFill="1" applyAlignment="1">
      <alignment horizontal="right"/>
    </xf>
    <xf numFmtId="3" fontId="10" fillId="30" borderId="0" xfId="0" applyNumberFormat="1" applyFont="1" applyFill="1"/>
    <xf numFmtId="0" fontId="51" fillId="25" borderId="0" xfId="0" applyFont="1" applyFill="1" applyAlignment="1">
      <alignment vertical="center"/>
    </xf>
    <xf numFmtId="0" fontId="21" fillId="30" borderId="0" xfId="0" applyFont="1" applyFill="1"/>
    <xf numFmtId="1" fontId="7" fillId="0" borderId="47" xfId="0" applyNumberFormat="1" applyFont="1" applyBorder="1"/>
    <xf numFmtId="0" fontId="7" fillId="0" borderId="47" xfId="0" applyFont="1" applyBorder="1" applyAlignment="1">
      <alignment horizontal="left"/>
    </xf>
    <xf numFmtId="0" fontId="7" fillId="31" borderId="47" xfId="0" applyFont="1" applyFill="1" applyBorder="1"/>
    <xf numFmtId="0" fontId="7" fillId="30" borderId="0" xfId="0" applyFont="1" applyFill="1"/>
    <xf numFmtId="3" fontId="7" fillId="30" borderId="0" xfId="0" applyNumberFormat="1" applyFont="1" applyFill="1"/>
    <xf numFmtId="0" fontId="35" fillId="0" borderId="47" xfId="0" applyFont="1" applyBorder="1"/>
    <xf numFmtId="3" fontId="35" fillId="0" borderId="47" xfId="0" applyNumberFormat="1" applyFont="1" applyBorder="1"/>
    <xf numFmtId="173" fontId="7" fillId="0" borderId="47" xfId="0" applyNumberFormat="1" applyFont="1" applyBorder="1"/>
    <xf numFmtId="0" fontId="7" fillId="27" borderId="47" xfId="0" applyFont="1" applyFill="1" applyBorder="1"/>
    <xf numFmtId="0" fontId="0" fillId="27" borderId="47" xfId="0" applyFill="1" applyBorder="1"/>
    <xf numFmtId="3" fontId="7" fillId="27" borderId="0" xfId="0" applyNumberFormat="1" applyFont="1" applyFill="1"/>
    <xf numFmtId="0" fontId="10" fillId="30" borderId="0" xfId="0" applyFont="1" applyFill="1" applyAlignment="1">
      <alignment horizontal="left"/>
    </xf>
    <xf numFmtId="0" fontId="29" fillId="0" borderId="47" xfId="0" applyFont="1" applyBorder="1"/>
    <xf numFmtId="0" fontId="29" fillId="0" borderId="47" xfId="0" applyFont="1" applyBorder="1" applyAlignment="1">
      <alignment horizontal="center"/>
    </xf>
    <xf numFmtId="177" fontId="7" fillId="0" borderId="47" xfId="0" applyNumberFormat="1" applyFont="1" applyBorder="1"/>
    <xf numFmtId="177" fontId="2" fillId="0" borderId="47" xfId="0" applyNumberFormat="1" applyFont="1" applyBorder="1" applyAlignment="1">
      <alignment horizontal="right"/>
    </xf>
    <xf numFmtId="0" fontId="7" fillId="29" borderId="0" xfId="0" applyFont="1" applyFill="1"/>
    <xf numFmtId="0" fontId="10" fillId="29" borderId="0" xfId="0" applyFont="1" applyFill="1"/>
    <xf numFmtId="0" fontId="0" fillId="29" borderId="0" xfId="0" applyFill="1"/>
    <xf numFmtId="0" fontId="10" fillId="0" borderId="0" xfId="0" applyFont="1" applyFill="1"/>
    <xf numFmtId="0" fontId="0" fillId="0" borderId="0" xfId="0" applyFill="1"/>
    <xf numFmtId="9" fontId="7" fillId="32" borderId="0" xfId="0" applyNumberFormat="1" applyFont="1" applyFill="1"/>
    <xf numFmtId="10" fontId="7" fillId="0" borderId="47" xfId="0" applyNumberFormat="1" applyFont="1" applyBorder="1"/>
    <xf numFmtId="164" fontId="7" fillId="29" borderId="0" xfId="0" applyNumberFormat="1" applyFont="1" applyFill="1"/>
    <xf numFmtId="0" fontId="44" fillId="18" borderId="45" xfId="0" applyFont="1" applyFill="1" applyBorder="1"/>
    <xf numFmtId="0" fontId="44" fillId="18" borderId="0" xfId="0" applyFont="1" applyFill="1"/>
    <xf numFmtId="0" fontId="45" fillId="19" borderId="0" xfId="0" applyFont="1" applyFill="1"/>
    <xf numFmtId="3" fontId="4" fillId="15" borderId="0" xfId="0" applyNumberFormat="1" applyFont="1" applyFill="1" applyAlignment="1">
      <alignment wrapText="1"/>
    </xf>
    <xf numFmtId="0" fontId="0" fillId="0" borderId="0" xfId="0"/>
    <xf numFmtId="0" fontId="7" fillId="23" borderId="0" xfId="0" quotePrefix="1" applyFont="1" applyFill="1" applyAlignment="1">
      <alignment horizontal="center" wrapText="1"/>
    </xf>
    <xf numFmtId="0" fontId="7" fillId="23" borderId="0" xfId="0" applyFont="1" applyFill="1" applyAlignment="1">
      <alignment horizontal="center" wrapText="1"/>
    </xf>
    <xf numFmtId="0" fontId="7" fillId="23" borderId="0" xfId="0" quotePrefix="1" applyFont="1" applyFill="1" applyAlignment="1">
      <alignment horizontal="center" vertical="center" wrapText="1"/>
    </xf>
    <xf numFmtId="0" fontId="7" fillId="23" borderId="43" xfId="0" quotePrefix="1" applyFont="1" applyFill="1" applyBorder="1" applyAlignment="1">
      <alignment horizontal="center" vertical="center" wrapText="1"/>
    </xf>
    <xf numFmtId="0" fontId="27" fillId="24" borderId="0" xfId="0" quotePrefix="1" applyFont="1" applyFill="1" applyAlignment="1">
      <alignment horizontal="center" wrapText="1"/>
    </xf>
    <xf numFmtId="3" fontId="21" fillId="15" borderId="0" xfId="0" applyNumberFormat="1" applyFont="1" applyFill="1" applyAlignment="1">
      <alignment wrapText="1"/>
    </xf>
    <xf numFmtId="0" fontId="31" fillId="24" borderId="0" xfId="0" quotePrefix="1" applyFont="1" applyFill="1" applyAlignment="1">
      <alignment horizontal="center" wrapText="1"/>
    </xf>
    <xf numFmtId="0" fontId="36" fillId="0" borderId="0" xfId="0" applyFont="1"/>
    <xf numFmtId="3" fontId="53" fillId="0" borderId="0" xfId="0" applyNumberFormat="1" applyFont="1" applyFill="1" applyAlignment="1">
      <alignment wrapText="1"/>
    </xf>
    <xf numFmtId="0" fontId="53" fillId="0" borderId="0" xfId="0" applyFont="1" applyFill="1"/>
    <xf numFmtId="0" fontId="2" fillId="0" borderId="7" xfId="0" applyFont="1" applyBorder="1" applyAlignment="1">
      <alignment vertical="top"/>
    </xf>
    <xf numFmtId="0" fontId="9" fillId="0" borderId="8" xfId="0" applyFont="1" applyBorder="1"/>
    <xf numFmtId="0" fontId="9" fillId="0" borderId="9" xfId="0" applyFont="1" applyBorder="1"/>
    <xf numFmtId="0" fontId="12" fillId="0" borderId="22" xfId="0" applyFont="1" applyBorder="1" applyAlignment="1">
      <alignment horizontal="left"/>
    </xf>
    <xf numFmtId="0" fontId="9" fillId="0" borderId="21" xfId="0" applyFont="1" applyBorder="1"/>
    <xf numFmtId="0" fontId="13" fillId="0" borderId="0" xfId="0" applyFont="1" applyAlignment="1">
      <alignment horizontal="center"/>
    </xf>
    <xf numFmtId="0" fontId="11" fillId="0" borderId="6" xfId="0" applyFont="1" applyBorder="1"/>
    <xf numFmtId="0" fontId="13" fillId="0" borderId="18" xfId="0" applyFont="1" applyBorder="1"/>
    <xf numFmtId="0" fontId="9" fillId="0" borderId="16" xfId="0" applyFont="1" applyBorder="1"/>
    <xf numFmtId="0" fontId="12" fillId="0" borderId="23" xfId="0" applyFont="1" applyBorder="1"/>
    <xf numFmtId="0" fontId="9" fillId="0" borderId="24" xfId="0" applyFont="1" applyBorder="1"/>
  </cellXfs>
  <cellStyles count="2">
    <cellStyle name="Hyperlink" xfId="1" builtinId="8"/>
    <cellStyle name="Normal" xfId="0" builtinId="0"/>
  </cellStyles>
  <dxfs count="11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4CCCC"/>
      </font>
      <fill>
        <patternFill patternType="solid">
          <fgColor rgb="FFF4CCCC"/>
          <bgColor rgb="FFF4CCCC"/>
        </patternFill>
      </fill>
    </dxf>
    <dxf>
      <font>
        <color rgb="FFF4CCCC"/>
      </font>
      <fill>
        <patternFill patternType="solid">
          <fgColor rgb="FFF4CCCC"/>
          <bgColor rgb="FFF4CCCC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ont>
        <color rgb="FFF4CCCC"/>
      </font>
      <fill>
        <patternFill patternType="solid">
          <fgColor rgb="FFF4CCCC"/>
          <bgColor rgb="FFF4CC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areaChart>
        <c:grouping val="stacked"/>
        <c:varyColors val="1"/>
        <c:ser>
          <c:idx val="0"/>
          <c:order val="0"/>
          <c:tx>
            <c:strRef>
              <c:f>'Projections by County'!$C$120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rgbClr val="4285F4">
                <a:alpha val="30000"/>
              </a:srgbClr>
            </a:solidFill>
            <a:ln cmpd="sng">
              <a:solidFill>
                <a:srgbClr val="4285F4"/>
              </a:solidFill>
            </a:ln>
          </c:spPr>
          <c:cat>
            <c:numRef>
              <c:f>'Projections by County'!$D$119:$AG$119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'Projections by County'!$D$120:$AG$120</c:f>
              <c:numCache>
                <c:formatCode>#,##0</c:formatCode>
                <c:ptCount val="30"/>
                <c:pt idx="0">
                  <c:v>2826694.1775331241</c:v>
                </c:pt>
                <c:pt idx="1">
                  <c:v>2496715.5294889752</c:v>
                </c:pt>
                <c:pt idx="2">
                  <c:v>2452968.7457135743</c:v>
                </c:pt>
                <c:pt idx="3">
                  <c:v>2460391.7806299739</c:v>
                </c:pt>
                <c:pt idx="4">
                  <c:v>2541712.1657988867</c:v>
                </c:pt>
                <c:pt idx="5">
                  <c:v>2495170.3270849679</c:v>
                </c:pt>
                <c:pt idx="6">
                  <c:v>2440993.6234566057</c:v>
                </c:pt>
                <c:pt idx="7">
                  <c:v>2418449.1256483649</c:v>
                </c:pt>
                <c:pt idx="8">
                  <c:v>2448278.7979281242</c:v>
                </c:pt>
                <c:pt idx="9">
                  <c:v>2485006.5072604707</c:v>
                </c:pt>
                <c:pt idx="10">
                  <c:v>2492852.9932184634</c:v>
                </c:pt>
                <c:pt idx="11">
                  <c:v>2509763.7551771821</c:v>
                </c:pt>
                <c:pt idx="12">
                  <c:v>2520605.8469250179</c:v>
                </c:pt>
                <c:pt idx="13">
                  <c:v>2530130.2741173496</c:v>
                </c:pt>
                <c:pt idx="14">
                  <c:v>2509549.454710626</c:v>
                </c:pt>
                <c:pt idx="15">
                  <c:v>2484952.1272286838</c:v>
                </c:pt>
                <c:pt idx="16">
                  <c:v>2460790.9010777464</c:v>
                </c:pt>
                <c:pt idx="17">
                  <c:v>2427915.9742777022</c:v>
                </c:pt>
                <c:pt idx="18">
                  <c:v>2400041.7294116728</c:v>
                </c:pt>
                <c:pt idx="19">
                  <c:v>2371216.2395668672</c:v>
                </c:pt>
                <c:pt idx="20">
                  <c:v>2347240.2525261054</c:v>
                </c:pt>
                <c:pt idx="21">
                  <c:v>2323972.4503973667</c:v>
                </c:pt>
                <c:pt idx="22">
                  <c:v>2306259.4159864094</c:v>
                </c:pt>
                <c:pt idx="23">
                  <c:v>2285319.4074142026</c:v>
                </c:pt>
                <c:pt idx="24">
                  <c:v>2271697.5823607715</c:v>
                </c:pt>
                <c:pt idx="25">
                  <c:v>2250447.8756289342</c:v>
                </c:pt>
                <c:pt idx="26">
                  <c:v>2231435.812887786</c:v>
                </c:pt>
                <c:pt idx="27">
                  <c:v>2220526.9349872358</c:v>
                </c:pt>
                <c:pt idx="28">
                  <c:v>2199930.9288639422</c:v>
                </c:pt>
                <c:pt idx="29">
                  <c:v>2178369.0155313299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0-450C-9F1C-733E40AC96B5}"/>
            </c:ext>
          </c:extLst>
        </c:ser>
        <c:ser>
          <c:idx val="1"/>
          <c:order val="1"/>
          <c:tx>
            <c:strRef>
              <c:f>'Projections by County'!$C$121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rgbClr val="EA4335">
                <a:alpha val="30000"/>
              </a:srgbClr>
            </a:solidFill>
            <a:ln cmpd="sng">
              <a:solidFill>
                <a:srgbClr val="EA4335"/>
              </a:solidFill>
            </a:ln>
          </c:spPr>
          <c:cat>
            <c:numRef>
              <c:f>'Projections by County'!$D$119:$AG$119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'Projections by County'!$D$121:$AG$121</c:f>
              <c:numCache>
                <c:formatCode>#,##0</c:formatCode>
                <c:ptCount val="30"/>
                <c:pt idx="0">
                  <c:v>2310503.8609644743</c:v>
                </c:pt>
                <c:pt idx="1">
                  <c:v>2145080.8475148198</c:v>
                </c:pt>
                <c:pt idx="2">
                  <c:v>1979339.9557506549</c:v>
                </c:pt>
                <c:pt idx="3">
                  <c:v>1973558.7408401854</c:v>
                </c:pt>
                <c:pt idx="4">
                  <c:v>2036758.1763139921</c:v>
                </c:pt>
                <c:pt idx="5">
                  <c:v>1991128.8678380277</c:v>
                </c:pt>
                <c:pt idx="6">
                  <c:v>1949118.4226944542</c:v>
                </c:pt>
                <c:pt idx="7">
                  <c:v>1931414.1232531182</c:v>
                </c:pt>
                <c:pt idx="8">
                  <c:v>1956013.9085789449</c:v>
                </c:pt>
                <c:pt idx="9">
                  <c:v>1984635.6286516876</c:v>
                </c:pt>
                <c:pt idx="10">
                  <c:v>1992630.3895342876</c:v>
                </c:pt>
                <c:pt idx="11">
                  <c:v>2008588.9050649172</c:v>
                </c:pt>
                <c:pt idx="12">
                  <c:v>2019455.8052756554</c:v>
                </c:pt>
                <c:pt idx="13">
                  <c:v>2029506.3518344946</c:v>
                </c:pt>
                <c:pt idx="14">
                  <c:v>2014610.9988161791</c:v>
                </c:pt>
                <c:pt idx="15">
                  <c:v>1995953.6016954586</c:v>
                </c:pt>
                <c:pt idx="16">
                  <c:v>1976625.0171649414</c:v>
                </c:pt>
                <c:pt idx="17">
                  <c:v>1950271.7395645962</c:v>
                </c:pt>
                <c:pt idx="18">
                  <c:v>1927264.1126672996</c:v>
                </c:pt>
                <c:pt idx="19">
                  <c:v>1903330.4779827141</c:v>
                </c:pt>
                <c:pt idx="20">
                  <c:v>1885402.9773688354</c:v>
                </c:pt>
                <c:pt idx="21">
                  <c:v>1868391.381413911</c:v>
                </c:pt>
                <c:pt idx="22">
                  <c:v>1855888.3526178852</c:v>
                </c:pt>
                <c:pt idx="23">
                  <c:v>1840084.8748883158</c:v>
                </c:pt>
                <c:pt idx="24">
                  <c:v>1830480.8625328597</c:v>
                </c:pt>
                <c:pt idx="25">
                  <c:v>1813147.5604981668</c:v>
                </c:pt>
                <c:pt idx="26">
                  <c:v>1798508.4982387321</c:v>
                </c:pt>
                <c:pt idx="27">
                  <c:v>1789755.0169049085</c:v>
                </c:pt>
                <c:pt idx="28">
                  <c:v>1773634.3022453687</c:v>
                </c:pt>
                <c:pt idx="29">
                  <c:v>1756369.5114320824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0-450C-9F1C-733E40AC96B5}"/>
            </c:ext>
          </c:extLst>
        </c:ser>
        <c:ser>
          <c:idx val="2"/>
          <c:order val="2"/>
          <c:tx>
            <c:strRef>
              <c:f>'Projections by County'!$C$122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rgbClr val="FBBC04">
                <a:alpha val="30000"/>
              </a:srgbClr>
            </a:solidFill>
            <a:ln cmpd="sng">
              <a:solidFill>
                <a:srgbClr val="FBBC04"/>
              </a:solidFill>
            </a:ln>
          </c:spPr>
          <c:cat>
            <c:numRef>
              <c:f>'Projections by County'!$D$119:$AG$119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'Projections by County'!$D$122:$AG$122</c:f>
              <c:numCache>
                <c:formatCode>#,##0</c:formatCode>
                <c:ptCount val="30"/>
                <c:pt idx="0">
                  <c:v>2588948.372238928</c:v>
                </c:pt>
                <c:pt idx="1">
                  <c:v>2466768.4210687098</c:v>
                </c:pt>
                <c:pt idx="2">
                  <c:v>2378562.1850414118</c:v>
                </c:pt>
                <c:pt idx="3">
                  <c:v>2376148.7497092015</c:v>
                </c:pt>
                <c:pt idx="4">
                  <c:v>2446010.9353635646</c:v>
                </c:pt>
                <c:pt idx="5">
                  <c:v>2426639.8237907332</c:v>
                </c:pt>
                <c:pt idx="6">
                  <c:v>2388149.7930508</c:v>
                </c:pt>
                <c:pt idx="7">
                  <c:v>2375324.5332072205</c:v>
                </c:pt>
                <c:pt idx="8">
                  <c:v>2410870.1629124614</c:v>
                </c:pt>
                <c:pt idx="9">
                  <c:v>2450287.7501375978</c:v>
                </c:pt>
                <c:pt idx="10">
                  <c:v>2467716.0425424846</c:v>
                </c:pt>
                <c:pt idx="11">
                  <c:v>2493864.8384447456</c:v>
                </c:pt>
                <c:pt idx="12">
                  <c:v>2510109.0799344406</c:v>
                </c:pt>
                <c:pt idx="13">
                  <c:v>2523039.9793604119</c:v>
                </c:pt>
                <c:pt idx="14">
                  <c:v>2513363.9588395511</c:v>
                </c:pt>
                <c:pt idx="15">
                  <c:v>2498934.4356071297</c:v>
                </c:pt>
                <c:pt idx="16">
                  <c:v>2487809.1806280864</c:v>
                </c:pt>
                <c:pt idx="17">
                  <c:v>2469423.5955735706</c:v>
                </c:pt>
                <c:pt idx="18">
                  <c:v>2452837.659120765</c:v>
                </c:pt>
                <c:pt idx="19">
                  <c:v>2435747.5768958791</c:v>
                </c:pt>
                <c:pt idx="20">
                  <c:v>2427112.2642754274</c:v>
                </c:pt>
                <c:pt idx="21">
                  <c:v>2421204.954324252</c:v>
                </c:pt>
                <c:pt idx="22">
                  <c:v>2418758.8614543923</c:v>
                </c:pt>
                <c:pt idx="23">
                  <c:v>2407389.8086441779</c:v>
                </c:pt>
                <c:pt idx="24">
                  <c:v>2406199.6323477244</c:v>
                </c:pt>
                <c:pt idx="25">
                  <c:v>2396655.5212786621</c:v>
                </c:pt>
                <c:pt idx="26">
                  <c:v>2383807.7169301971</c:v>
                </c:pt>
                <c:pt idx="27">
                  <c:v>2376469.3381803646</c:v>
                </c:pt>
                <c:pt idx="28">
                  <c:v>2363523.4360288293</c:v>
                </c:pt>
                <c:pt idx="29">
                  <c:v>2356534.1785509987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0-450C-9F1C-733E40AC96B5}"/>
            </c:ext>
          </c:extLst>
        </c:ser>
        <c:ser>
          <c:idx val="3"/>
          <c:order val="3"/>
          <c:tx>
            <c:strRef>
              <c:f>'Projections by County'!$C$123</c:f>
              <c:strCache>
                <c:ptCount val="1"/>
                <c:pt idx="0">
                  <c:v>Electricity generation</c:v>
                </c:pt>
              </c:strCache>
            </c:strRef>
          </c:tx>
          <c:spPr>
            <a:solidFill>
              <a:srgbClr val="34A853">
                <a:alpha val="30000"/>
              </a:srgbClr>
            </a:solidFill>
            <a:ln cmpd="sng">
              <a:solidFill>
                <a:srgbClr val="34A853"/>
              </a:solidFill>
            </a:ln>
          </c:spPr>
          <c:cat>
            <c:numRef>
              <c:f>'Projections by County'!$D$119:$AG$119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'Projections by County'!$D$123:$AG$123</c:f>
              <c:numCache>
                <c:formatCode>#,##0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E0-450C-9F1C-733E40AC9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5117790"/>
        <c:axId val="1673971565"/>
      </c:areaChart>
      <c:catAx>
        <c:axId val="142511779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73971565"/>
        <c:crosses val="autoZero"/>
        <c:auto val="1"/>
        <c:lblAlgn val="ctr"/>
        <c:lblOffset val="100"/>
        <c:noMultiLvlLbl val="1"/>
      </c:catAx>
      <c:valAx>
        <c:axId val="167397156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MMtCO2e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25117790"/>
        <c:crosses val="autoZero"/>
        <c:crossBetween val="midCat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areaChart>
        <c:grouping val="stacked"/>
        <c:varyColors val="1"/>
        <c:ser>
          <c:idx val="0"/>
          <c:order val="0"/>
          <c:tx>
            <c:strRef>
              <c:f>'Projections by County'!$C$132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4285F4">
                <a:alpha val="30000"/>
              </a:srgbClr>
            </a:solidFill>
            <a:ln cmpd="sng">
              <a:solidFill>
                <a:srgbClr val="4285F4"/>
              </a:solidFill>
            </a:ln>
          </c:spPr>
          <c:cat>
            <c:numRef>
              <c:f>'Projections by County'!$D$131:$AG$131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'Projections by County'!$D$132:$AG$132</c:f>
              <c:numCache>
                <c:formatCode>#,##0</c:formatCode>
                <c:ptCount val="30"/>
                <c:pt idx="0">
                  <c:v>4915791.3960679919</c:v>
                </c:pt>
                <c:pt idx="1">
                  <c:v>4299125.7925750371</c:v>
                </c:pt>
                <c:pt idx="2">
                  <c:v>3908773.6035969877</c:v>
                </c:pt>
                <c:pt idx="3">
                  <c:v>3901662.5735029499</c:v>
                </c:pt>
                <c:pt idx="4">
                  <c:v>4108575.3431366286</c:v>
                </c:pt>
                <c:pt idx="5">
                  <c:v>3993547.5879851812</c:v>
                </c:pt>
                <c:pt idx="6">
                  <c:v>3863200.821578552</c:v>
                </c:pt>
                <c:pt idx="7">
                  <c:v>3818518.1180685433</c:v>
                </c:pt>
                <c:pt idx="8">
                  <c:v>3918266.8938070997</c:v>
                </c:pt>
                <c:pt idx="9">
                  <c:v>4031128.2752826093</c:v>
                </c:pt>
                <c:pt idx="10">
                  <c:v>4086259.4622268104</c:v>
                </c:pt>
                <c:pt idx="11">
                  <c:v>4162794.2332019457</c:v>
                </c:pt>
                <c:pt idx="12">
                  <c:v>4221129.5592615968</c:v>
                </c:pt>
                <c:pt idx="13">
                  <c:v>4272134.9253108753</c:v>
                </c:pt>
                <c:pt idx="14">
                  <c:v>4241085.3465661583</c:v>
                </c:pt>
                <c:pt idx="15">
                  <c:v>4198253.941512486</c:v>
                </c:pt>
                <c:pt idx="16">
                  <c:v>4158328.769483441</c:v>
                </c:pt>
                <c:pt idx="17">
                  <c:v>4094613.0162379025</c:v>
                </c:pt>
                <c:pt idx="18">
                  <c:v>4041891.1093440326</c:v>
                </c:pt>
                <c:pt idx="19">
                  <c:v>3985572.9832357736</c:v>
                </c:pt>
                <c:pt idx="20">
                  <c:v>3946567.9980487777</c:v>
                </c:pt>
                <c:pt idx="21">
                  <c:v>3910011.3062310447</c:v>
                </c:pt>
                <c:pt idx="22">
                  <c:v>3886044.4943487858</c:v>
                </c:pt>
                <c:pt idx="23">
                  <c:v>3849036.3244714518</c:v>
                </c:pt>
                <c:pt idx="24">
                  <c:v>3832088.9324572608</c:v>
                </c:pt>
                <c:pt idx="25">
                  <c:v>3793934.4560293248</c:v>
                </c:pt>
                <c:pt idx="26">
                  <c:v>3759943.2836365392</c:v>
                </c:pt>
                <c:pt idx="27">
                  <c:v>3744263.7855719277</c:v>
                </c:pt>
                <c:pt idx="28">
                  <c:v>3705702.8593054661</c:v>
                </c:pt>
                <c:pt idx="29">
                  <c:v>3667833.4391386956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ED-4783-953F-711FE7CCC0FD}"/>
            </c:ext>
          </c:extLst>
        </c:ser>
        <c:ser>
          <c:idx val="1"/>
          <c:order val="1"/>
          <c:tx>
            <c:strRef>
              <c:f>'Projections by County'!$C$133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EA4335">
                <a:alpha val="30000"/>
              </a:srgbClr>
            </a:solidFill>
            <a:ln cmpd="sng">
              <a:solidFill>
                <a:srgbClr val="EA4335"/>
              </a:solidFill>
            </a:ln>
          </c:spPr>
          <c:cat>
            <c:numRef>
              <c:f>'Projections by County'!$D$131:$AG$131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'Projections by County'!$D$133:$AG$133</c:f>
              <c:numCache>
                <c:formatCode>#,##0</c:formatCode>
                <c:ptCount val="30"/>
                <c:pt idx="0">
                  <c:v>2241152.1485611517</c:v>
                </c:pt>
                <c:pt idx="1">
                  <c:v>2243236.0635351753</c:v>
                </c:pt>
                <c:pt idx="2">
                  <c:v>2336384.2742026374</c:v>
                </c:pt>
                <c:pt idx="3">
                  <c:v>2343614.6694061328</c:v>
                </c:pt>
                <c:pt idx="4">
                  <c:v>2352306.5682224552</c:v>
                </c:pt>
                <c:pt idx="5">
                  <c:v>2356656.4610408237</c:v>
                </c:pt>
                <c:pt idx="6">
                  <c:v>2353120.8070054473</c:v>
                </c:pt>
                <c:pt idx="7">
                  <c:v>2345630.141653785</c:v>
                </c:pt>
                <c:pt idx="8">
                  <c:v>2337071.0415606224</c:v>
                </c:pt>
                <c:pt idx="9">
                  <c:v>2330312.3311016746</c:v>
                </c:pt>
                <c:pt idx="10">
                  <c:v>2309668.3205925897</c:v>
                </c:pt>
                <c:pt idx="11">
                  <c:v>2293431.6186364759</c:v>
                </c:pt>
                <c:pt idx="12">
                  <c:v>2274296.3552454524</c:v>
                </c:pt>
                <c:pt idx="13">
                  <c:v>2257034.1598904417</c:v>
                </c:pt>
                <c:pt idx="14">
                  <c:v>2243841.5728205908</c:v>
                </c:pt>
                <c:pt idx="15">
                  <c:v>2229824.4897048371</c:v>
                </c:pt>
                <c:pt idx="16">
                  <c:v>2215939.5829330687</c:v>
                </c:pt>
                <c:pt idx="17">
                  <c:v>2202712.6116756923</c:v>
                </c:pt>
                <c:pt idx="18">
                  <c:v>2188661.6082072756</c:v>
                </c:pt>
                <c:pt idx="19">
                  <c:v>2175792.7578238505</c:v>
                </c:pt>
                <c:pt idx="20">
                  <c:v>2164945.867378294</c:v>
                </c:pt>
                <c:pt idx="21">
                  <c:v>2155958.5287760189</c:v>
                </c:pt>
                <c:pt idx="22">
                  <c:v>2147956.5589471543</c:v>
                </c:pt>
                <c:pt idx="23">
                  <c:v>2137464.5896058427</c:v>
                </c:pt>
                <c:pt idx="24">
                  <c:v>2130675.0159785752</c:v>
                </c:pt>
                <c:pt idx="25">
                  <c:v>2121233.9998087985</c:v>
                </c:pt>
                <c:pt idx="26">
                  <c:v>2109259.4094067793</c:v>
                </c:pt>
                <c:pt idx="27">
                  <c:v>2098566.6133531085</c:v>
                </c:pt>
                <c:pt idx="28">
                  <c:v>2087896.7680873512</c:v>
                </c:pt>
                <c:pt idx="29">
                  <c:v>2080336.2246649084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ED-4783-953F-711FE7CCC0FD}"/>
            </c:ext>
          </c:extLst>
        </c:ser>
        <c:ser>
          <c:idx val="2"/>
          <c:order val="2"/>
          <c:tx>
            <c:strRef>
              <c:f>'Projections by County'!$C$134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rgbClr val="FBBC04">
                <a:alpha val="30000"/>
              </a:srgbClr>
            </a:solidFill>
            <a:ln cmpd="sng">
              <a:solidFill>
                <a:srgbClr val="FBBC04"/>
              </a:solidFill>
            </a:ln>
          </c:spPr>
          <c:cat>
            <c:numRef>
              <c:f>'Projections by County'!$D$131:$AG$131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'Projections by County'!$D$134:$AG$134</c:f>
              <c:numCache>
                <c:formatCode>#,##0</c:formatCode>
                <c:ptCount val="30"/>
                <c:pt idx="0">
                  <c:v>2366884.2549449713</c:v>
                </c:pt>
                <c:pt idx="1">
                  <c:v>2436705.0456391177</c:v>
                </c:pt>
                <c:pt idx="2">
                  <c:v>2482536.8846862111</c:v>
                </c:pt>
                <c:pt idx="3">
                  <c:v>2474773.0432362733</c:v>
                </c:pt>
                <c:pt idx="4">
                  <c:v>2463826.9300621613</c:v>
                </c:pt>
                <c:pt idx="5">
                  <c:v>2446996.7964755655</c:v>
                </c:pt>
                <c:pt idx="6">
                  <c:v>2425988.6402863418</c:v>
                </c:pt>
                <c:pt idx="7">
                  <c:v>2403453.9226456955</c:v>
                </c:pt>
                <c:pt idx="8">
                  <c:v>2383297.8713726024</c:v>
                </c:pt>
                <c:pt idx="9">
                  <c:v>2365987.5977693056</c:v>
                </c:pt>
                <c:pt idx="10">
                  <c:v>2335493.4608121389</c:v>
                </c:pt>
                <c:pt idx="11">
                  <c:v>2304244.6740746312</c:v>
                </c:pt>
                <c:pt idx="12">
                  <c:v>2277621.0043256734</c:v>
                </c:pt>
                <c:pt idx="13">
                  <c:v>2252211.646285994</c:v>
                </c:pt>
                <c:pt idx="14">
                  <c:v>2226795.4458282562</c:v>
                </c:pt>
                <c:pt idx="15">
                  <c:v>2203309.6813881705</c:v>
                </c:pt>
                <c:pt idx="16">
                  <c:v>2182819.3852301249</c:v>
                </c:pt>
                <c:pt idx="17">
                  <c:v>2163667.3799413689</c:v>
                </c:pt>
                <c:pt idx="18">
                  <c:v>2146860.1528424574</c:v>
                </c:pt>
                <c:pt idx="19">
                  <c:v>2131618.0019127652</c:v>
                </c:pt>
                <c:pt idx="20">
                  <c:v>2117404.5673704334</c:v>
                </c:pt>
                <c:pt idx="21">
                  <c:v>2104499.4683017577</c:v>
                </c:pt>
                <c:pt idx="22">
                  <c:v>2092377.4301744192</c:v>
                </c:pt>
                <c:pt idx="23">
                  <c:v>2081680.8792593786</c:v>
                </c:pt>
                <c:pt idx="24">
                  <c:v>2072531.4460199664</c:v>
                </c:pt>
                <c:pt idx="25">
                  <c:v>2065484.9902837174</c:v>
                </c:pt>
                <c:pt idx="26">
                  <c:v>2058352.0076769695</c:v>
                </c:pt>
                <c:pt idx="27">
                  <c:v>2051439.6425076232</c:v>
                </c:pt>
                <c:pt idx="28">
                  <c:v>2046378.3157715695</c:v>
                </c:pt>
                <c:pt idx="29">
                  <c:v>2043426.5411720062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ED-4783-953F-711FE7CCC0FD}"/>
            </c:ext>
          </c:extLst>
        </c:ser>
        <c:ser>
          <c:idx val="3"/>
          <c:order val="3"/>
          <c:tx>
            <c:strRef>
              <c:f>'Projections by County'!$C$135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34A853">
                <a:alpha val="30000"/>
              </a:srgbClr>
            </a:solidFill>
            <a:ln cmpd="sng">
              <a:solidFill>
                <a:srgbClr val="34A853"/>
              </a:solidFill>
            </a:ln>
          </c:spPr>
          <c:cat>
            <c:numRef>
              <c:f>'Projections by County'!$D$131:$AG$131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'Projections by County'!$D$135:$AG$135</c:f>
              <c:numCache>
                <c:formatCode>#,##0</c:formatCode>
                <c:ptCount val="30"/>
                <c:pt idx="0">
                  <c:v>594989.22373651795</c:v>
                </c:pt>
                <c:pt idx="1">
                  <c:v>599700.08292059973</c:v>
                </c:pt>
                <c:pt idx="2">
                  <c:v>606638.70417805389</c:v>
                </c:pt>
                <c:pt idx="3">
                  <c:v>601602.20548721007</c:v>
                </c:pt>
                <c:pt idx="4">
                  <c:v>599202.96876619628</c:v>
                </c:pt>
                <c:pt idx="5">
                  <c:v>595314.27324298956</c:v>
                </c:pt>
                <c:pt idx="6">
                  <c:v>589185.93425247818</c:v>
                </c:pt>
                <c:pt idx="7">
                  <c:v>582936.68457325385</c:v>
                </c:pt>
                <c:pt idx="8">
                  <c:v>576328.10578199616</c:v>
                </c:pt>
                <c:pt idx="9">
                  <c:v>569734.62566833547</c:v>
                </c:pt>
                <c:pt idx="10">
                  <c:v>558548.89237021049</c:v>
                </c:pt>
                <c:pt idx="11">
                  <c:v>548714.58445442421</c:v>
                </c:pt>
                <c:pt idx="12">
                  <c:v>539718.43279256858</c:v>
                </c:pt>
                <c:pt idx="13">
                  <c:v>530491.58667207696</c:v>
                </c:pt>
                <c:pt idx="14">
                  <c:v>522125.90415844216</c:v>
                </c:pt>
                <c:pt idx="15">
                  <c:v>514030.18356262683</c:v>
                </c:pt>
                <c:pt idx="16">
                  <c:v>507346.34095131827</c:v>
                </c:pt>
                <c:pt idx="17">
                  <c:v>501235.57008305902</c:v>
                </c:pt>
                <c:pt idx="18">
                  <c:v>494908.58098552469</c:v>
                </c:pt>
                <c:pt idx="19">
                  <c:v>489281.01330409414</c:v>
                </c:pt>
                <c:pt idx="20">
                  <c:v>483942.67393887986</c:v>
                </c:pt>
                <c:pt idx="21">
                  <c:v>479722.7603822645</c:v>
                </c:pt>
                <c:pt idx="22">
                  <c:v>475697.95009063376</c:v>
                </c:pt>
                <c:pt idx="23">
                  <c:v>471363.48726126214</c:v>
                </c:pt>
                <c:pt idx="24">
                  <c:v>466981.91683985392</c:v>
                </c:pt>
                <c:pt idx="25">
                  <c:v>463113.05093012116</c:v>
                </c:pt>
                <c:pt idx="26">
                  <c:v>458526.09538747766</c:v>
                </c:pt>
                <c:pt idx="27">
                  <c:v>453291.87624475401</c:v>
                </c:pt>
                <c:pt idx="28">
                  <c:v>449026.89086311008</c:v>
                </c:pt>
                <c:pt idx="29">
                  <c:v>445757.68364085036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ED-4783-953F-711FE7CCC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469371"/>
        <c:axId val="1633991068"/>
      </c:areaChart>
      <c:catAx>
        <c:axId val="5114693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33991068"/>
        <c:crosses val="autoZero"/>
        <c:auto val="1"/>
        <c:lblAlgn val="ctr"/>
        <c:lblOffset val="100"/>
        <c:noMultiLvlLbl val="1"/>
      </c:catAx>
      <c:valAx>
        <c:axId val="163399106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MMtCO2e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511469371"/>
        <c:crosses val="autoZero"/>
        <c:crossBetween val="midCat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14</xdr:row>
      <xdr:rowOff>171450</xdr:rowOff>
    </xdr:from>
    <xdr:ext cx="6210300" cy="58578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971800"/>
          <a:ext cx="6210300" cy="58578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</xdr:colOff>
      <xdr:row>14</xdr:row>
      <xdr:rowOff>76200</xdr:rowOff>
    </xdr:from>
    <xdr:ext cx="6029325" cy="2162175"/>
    <xdr:pic>
      <xdr:nvPicPr>
        <xdr:cNvPr id="3" name="image4.png" title="Imag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0" y="2876550"/>
          <a:ext cx="6029325" cy="2162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</xdr:colOff>
      <xdr:row>24</xdr:row>
      <xdr:rowOff>142875</xdr:rowOff>
    </xdr:from>
    <xdr:ext cx="6000750" cy="4076700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210300" y="4943475"/>
          <a:ext cx="6000750" cy="40767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46</xdr:row>
      <xdr:rowOff>0</xdr:rowOff>
    </xdr:from>
    <xdr:ext cx="9810750" cy="7372350"/>
    <xdr:pic>
      <xdr:nvPicPr>
        <xdr:cNvPr id="5" name="image5.png" title="Image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504825</xdr:colOff>
      <xdr:row>116</xdr:row>
      <xdr:rowOff>180975</xdr:rowOff>
    </xdr:from>
    <xdr:ext cx="5715000" cy="3533775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3</xdr:col>
      <xdr:colOff>381000</xdr:colOff>
      <xdr:row>123</xdr:row>
      <xdr:rowOff>200025</xdr:rowOff>
    </xdr:from>
    <xdr:ext cx="5715000" cy="3533775"/>
    <xdr:graphicFrame macro="">
      <xdr:nvGraphicFramePr>
        <xdr:cNvPr id="3" name="Chart 2" title="Chart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714375</xdr:colOff>
      <xdr:row>64</xdr:row>
      <xdr:rowOff>57150</xdr:rowOff>
    </xdr:from>
    <xdr:ext cx="5495925" cy="4972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vis, Chanda" refreshedDate="45345.447243634262" refreshedVersion="6" recordCount="27" xr:uid="{00000000-000A-0000-FFFF-FFFF00000000}">
  <cacheSource type="worksheet">
    <worksheetSource ref="A9:AG36" sheet="Projections by County"/>
  </cacheSource>
  <cacheFields count="33">
    <cacheField name="County" numFmtId="0">
      <sharedItems count="3">
        <s v="Greene"/>
        <s v="Miami"/>
        <s v="Montgomery"/>
      </sharedItems>
    </cacheField>
    <cacheField name="Sector" numFmtId="0">
      <sharedItems count="4">
        <s v="Residential"/>
        <s v="Commercial"/>
        <s v="Industrial"/>
        <s v="Transportation"/>
      </sharedItems>
    </cacheField>
    <cacheField name="Fuel - MMBTU" numFmtId="0">
      <sharedItems count="4">
        <s v="Electricity (kWh)"/>
        <s v="Natural Gas"/>
        <s v="Gasoline"/>
        <s v="Diesel"/>
      </sharedItems>
    </cacheField>
    <cacheField name="2021" numFmtId="3">
      <sharedItems containsString="0" containsBlank="1" containsNumber="1" minValue="530289.65299999993" maxValue="2609692474"/>
    </cacheField>
    <cacheField name="2022" numFmtId="3">
      <sharedItems containsSemiMixedTypes="0" containsString="0" containsNumber="1" minValue="544570.75215586473" maxValue="2572377939.6122427"/>
    </cacheField>
    <cacheField name="2023" numFmtId="3">
      <sharedItems containsSemiMixedTypes="0" containsString="0" containsNumber="1" minValue="566919.23776433547" maxValue="2592786402.828196"/>
    </cacheField>
    <cacheField name="2024" numFmtId="3">
      <sharedItems containsSemiMixedTypes="0" containsString="0" containsNumber="1" minValue="570426.52792941139" maxValue="2606812764.7066779"/>
    </cacheField>
    <cacheField name="2025" numFmtId="3">
      <sharedItems containsSemiMixedTypes="0" containsString="0" containsNumber="1" minValue="575811.58031857212" maxValue="2616353798.0748353"/>
    </cacheField>
    <cacheField name="2026" numFmtId="3">
      <sharedItems containsSemiMixedTypes="0" containsString="0" containsNumber="1" minValue="584333.04625583324" maxValue="2619890107.4705172"/>
    </cacheField>
    <cacheField name="2027" numFmtId="3">
      <sharedItems containsSemiMixedTypes="0" containsString="0" containsNumber="1" minValue="585741.75546590821" maxValue="2620792068.6564226"/>
    </cacheField>
    <cacheField name="2028" numFmtId="3">
      <sharedItems containsSemiMixedTypes="0" containsString="0" containsNumber="1" minValue="587505.96425548207" maxValue="2621767699.8754396"/>
    </cacheField>
    <cacheField name="2029" numFmtId="3">
      <sharedItems containsSemiMixedTypes="0" containsString="0" containsNumber="1" minValue="591512.00789446768" maxValue="2623756202.2095623"/>
    </cacheField>
    <cacheField name="2030" numFmtId="3">
      <sharedItems containsSemiMixedTypes="0" containsString="0" containsNumber="1" minValue="595877.84782619018" maxValue="2620480979.090694"/>
    </cacheField>
    <cacheField name="2031" numFmtId="3">
      <sharedItems containsSemiMixedTypes="0" containsString="0" containsNumber="1" minValue="595693.88538839889" maxValue="2601125969.661582"/>
    </cacheField>
    <cacheField name="2032" numFmtId="3">
      <sharedItems containsSemiMixedTypes="0" containsString="0" containsNumber="1" minValue="597616.98458506609" maxValue="2584375348.9911513"/>
    </cacheField>
    <cacheField name="2033" numFmtId="3">
      <sharedItems containsSemiMixedTypes="0" containsString="0" containsNumber="1" minValue="597360.7701713189" maxValue="2570814310.2576785"/>
    </cacheField>
    <cacheField name="2034" numFmtId="3">
      <sharedItems containsSemiMixedTypes="0" containsString="0" containsNumber="1" minValue="597420.12930881965" maxValue="2559989655.2449527"/>
    </cacheField>
    <cacheField name="2035" numFmtId="3">
      <sharedItems containsSemiMixedTypes="0" containsString="0" containsNumber="1" minValue="599455.23375573358" maxValue="2551173072.5496984"/>
    </cacheField>
    <cacheField name="2036" numFmtId="3">
      <sharedItems containsSemiMixedTypes="0" containsString="0" containsNumber="1" minValue="600524.97073442035" maxValue="2542903004.0457902"/>
    </cacheField>
    <cacheField name="2037" numFmtId="3">
      <sharedItems containsSemiMixedTypes="0" containsString="0" containsNumber="1" minValue="602445.71839699172" maxValue="2536517025.043571"/>
    </cacheField>
    <cacheField name="2038" numFmtId="3">
      <sharedItems containsSemiMixedTypes="0" containsString="0" containsNumber="1" minValue="605194.94394463825" maxValue="2530032334.4359603"/>
    </cacheField>
    <cacheField name="2039" numFmtId="3">
      <sharedItems containsSemiMixedTypes="0" containsString="0" containsNumber="1" minValue="607024.14740468864" maxValue="2523191090.8089833"/>
    </cacheField>
    <cacheField name="2040" numFmtId="3">
      <sharedItems containsSemiMixedTypes="0" containsString="0" containsNumber="1" minValue="609581.93892739329" maxValue="2514330480.4525046"/>
    </cacheField>
    <cacheField name="2041" numFmtId="3">
      <sharedItems containsSemiMixedTypes="0" containsString="0" containsNumber="1" minValue="613642.48105540231" maxValue="2504596801.8966851"/>
    </cacheField>
    <cacheField name="2042" numFmtId="3">
      <sharedItems containsSemiMixedTypes="0" containsString="0" containsNumber="1" minValue="619157.47069442971" maxValue="2496935139.1430998"/>
    </cacheField>
    <cacheField name="2043" numFmtId="3">
      <sharedItems containsSemiMixedTypes="0" containsString="0" containsNumber="1" minValue="625512.76536939328" maxValue="2490719838.7429681"/>
    </cacheField>
    <cacheField name="2044" numFmtId="3">
      <sharedItems containsSemiMixedTypes="0" containsString="0" containsNumber="1" minValue="628672.5790861249" maxValue="2486236963.5683346"/>
    </cacheField>
    <cacheField name="2045" numFmtId="3">
      <sharedItems containsSemiMixedTypes="0" containsString="0" containsNumber="1" minValue="635516.26939269993" maxValue="2482515957.9661703"/>
    </cacheField>
    <cacheField name="2046" numFmtId="3">
      <sharedItems containsSemiMixedTypes="0" containsString="0" containsNumber="1" minValue="640058.15043909766" maxValue="2479503748.5358934"/>
    </cacheField>
    <cacheField name="2047" numFmtId="3">
      <sharedItems containsSemiMixedTypes="0" containsString="0" containsNumber="1" minValue="642397.67356779717" maxValue="2476571333.2921681"/>
    </cacheField>
    <cacheField name="2048" numFmtId="3">
      <sharedItems containsSemiMixedTypes="0" containsString="0" containsNumber="1" minValue="645971.70997024933" maxValue="2475186245.4805889"/>
    </cacheField>
    <cacheField name="2049" numFmtId="3">
      <sharedItems containsSemiMixedTypes="0" containsString="0" containsNumber="1" minValue="649764.85950273043" maxValue="2475369030.1452427"/>
    </cacheField>
    <cacheField name="2050" numFmtId="3">
      <sharedItems containsSemiMixedTypes="0" containsString="0" containsNumber="1" minValue="656639.30066030833" maxValue="2477007527.39584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">
  <r>
    <x v="0"/>
    <x v="0"/>
    <x v="0"/>
    <n v="826624792"/>
    <n v="797914838.39712429"/>
    <n v="833879165.18650019"/>
    <n v="844664948.26169205"/>
    <n v="854112669.95806766"/>
    <n v="861698552.76731372"/>
    <n v="868479681.3528266"/>
    <n v="875327781.1214999"/>
    <n v="882554996.75854635"/>
    <n v="888073821.18960238"/>
    <n v="888207015.93661582"/>
    <n v="889164469.89329278"/>
    <n v="891165542.41118944"/>
    <n v="894078546.66543174"/>
    <n v="897671979.66167045"/>
    <n v="901450898.77538311"/>
    <n v="905890186.81654549"/>
    <n v="910301769.28223753"/>
    <n v="914592846.90487933"/>
    <n v="918162366.04248297"/>
    <n v="921409663.45203197"/>
    <n v="925403097.20923591"/>
    <n v="929929248.46389341"/>
    <n v="935105961.0188967"/>
    <n v="940585184.61033702"/>
    <n v="946353418.6391114"/>
    <n v="952178448.3416816"/>
    <n v="958621289.87945664"/>
    <n v="965703096.80173302"/>
    <n v="973394011.6688385"/>
  </r>
  <r>
    <x v="0"/>
    <x v="0"/>
    <x v="1"/>
    <n v="3016633"/>
    <n v="2923031.5110260779"/>
    <n v="3201095.1382411812"/>
    <n v="3232944.0432987493"/>
    <n v="3257480.78154193"/>
    <n v="3265551.2153978054"/>
    <n v="3266287.8851030716"/>
    <n v="3262356.6469901418"/>
    <n v="3254398.9878376569"/>
    <n v="3249272.3851793972"/>
    <n v="3225304.2957589147"/>
    <n v="3204346.9803809868"/>
    <n v="3182974.9944984666"/>
    <n v="3163932.5340976487"/>
    <n v="3147935.2784741838"/>
    <n v="3132711.451005185"/>
    <n v="3116721.5460618068"/>
    <n v="3100711.8705028603"/>
    <n v="3085277.9653179212"/>
    <n v="3070795.8355258494"/>
    <n v="3056759.6398477978"/>
    <n v="3043019.4737965954"/>
    <n v="3029357.377657494"/>
    <n v="3017278.4701307062"/>
    <n v="3004545.3068129942"/>
    <n v="2991431.8860912174"/>
    <n v="2977881.4228177015"/>
    <n v="2964110.5450847917"/>
    <n v="2949857.3670937126"/>
    <n v="2935292.8995948397"/>
  </r>
  <r>
    <x v="0"/>
    <x v="1"/>
    <x v="0"/>
    <n v="524183626"/>
    <n v="529872043.87218755"/>
    <n v="535813871.00614333"/>
    <n v="538784757.18762255"/>
    <n v="541917474.57839739"/>
    <n v="543280127.56227911"/>
    <n v="546331047.52422082"/>
    <n v="549130134.97362638"/>
    <n v="552114708.22910619"/>
    <n v="553478976.21117997"/>
    <n v="552467696.95329261"/>
    <n v="552122439.77796626"/>
    <n v="552625559.23484147"/>
    <n v="553808334.97437632"/>
    <n v="555342384.08940709"/>
    <n v="556919758.47990799"/>
    <n v="558684989.36626685"/>
    <n v="560619304.35194302"/>
    <n v="562233423.39645016"/>
    <n v="563407665.27191567"/>
    <n v="565275145.50210655"/>
    <n v="567741897.96191025"/>
    <n v="570562217.11746788"/>
    <n v="573440170.98875153"/>
    <n v="576628617.09564412"/>
    <n v="579285808.26386034"/>
    <n v="582440226.60210466"/>
    <n v="585652633.12785053"/>
    <n v="589505460.24764431"/>
    <n v="593557731.58522952"/>
  </r>
  <r>
    <x v="0"/>
    <x v="1"/>
    <x v="1"/>
    <n v="2153065.0279999999"/>
    <n v="2234713.6964825992"/>
    <n v="2214287.3390953252"/>
    <n v="2232487.9200828462"/>
    <n v="2255775.5729078865"/>
    <n v="2270083.1058028643"/>
    <n v="2292375.5424621906"/>
    <n v="2305161.0874159653"/>
    <n v="2309998.6526957303"/>
    <n v="2316357.2529233797"/>
    <n v="2312094.9728012597"/>
    <n v="2310961.757985313"/>
    <n v="2308165.7614582949"/>
    <n v="2307551.3241709745"/>
    <n v="2309720.6599015044"/>
    <n v="2311526.6301961909"/>
    <n v="2310925.5403499366"/>
    <n v="2309053.1088024667"/>
    <n v="2306796.3768764818"/>
    <n v="2304504.9529569433"/>
    <n v="2302726.9489526362"/>
    <n v="2301311.6755215195"/>
    <n v="2299798.021989055"/>
    <n v="2299701.8166296007"/>
    <n v="2299120.7793301996"/>
    <n v="2297906.4437105167"/>
    <n v="2296046.9910245566"/>
    <n v="2293940.1839951156"/>
    <n v="2291189.1864584452"/>
    <n v="2287980.6844364153"/>
  </r>
  <r>
    <x v="0"/>
    <x v="2"/>
    <x v="0"/>
    <n v="279076797"/>
    <n v="287803688.91855371"/>
    <n v="297290926.89577764"/>
    <n v="299395511.04401505"/>
    <n v="303747908.61885494"/>
    <n v="308232583.80330324"/>
    <n v="310808298.46298075"/>
    <n v="313231439.02746439"/>
    <n v="316773184.45557386"/>
    <n v="319328503.33371246"/>
    <n v="320347567.09621024"/>
    <n v="321611835.62270868"/>
    <n v="322561188.70728362"/>
    <n v="323334760.75732642"/>
    <n v="324352353.3894133"/>
    <n v="325372776.47875166"/>
    <n v="327115075.05082494"/>
    <n v="328555222.31747061"/>
    <n v="329688165.5026443"/>
    <n v="330480755.75990444"/>
    <n v="332005276.91654146"/>
    <n v="334017775.00843334"/>
    <n v="335739698.98352993"/>
    <n v="336993026.98710746"/>
    <n v="338437291.25099713"/>
    <n v="340029953.394373"/>
    <n v="340807946.20826799"/>
    <n v="341115966.06577253"/>
    <n v="342147358.71106297"/>
    <n v="344429409.73717982"/>
  </r>
  <r>
    <x v="0"/>
    <x v="2"/>
    <x v="1"/>
    <n v="530289.65299999993"/>
    <n v="544570.75215586473"/>
    <n v="566919.23776433547"/>
    <n v="570426.52792941139"/>
    <n v="575811.58031857212"/>
    <n v="584333.04625583324"/>
    <n v="585741.75546590821"/>
    <n v="587505.96425548207"/>
    <n v="591512.00789446768"/>
    <n v="595877.84782619018"/>
    <n v="595693.88538839889"/>
    <n v="597616.98458506609"/>
    <n v="597360.7701713189"/>
    <n v="597420.12930881965"/>
    <n v="599455.23375573358"/>
    <n v="600524.97073442035"/>
    <n v="602445.71839699172"/>
    <n v="605194.94394463825"/>
    <n v="607024.14740468864"/>
    <n v="609581.93892739329"/>
    <n v="613642.48105540231"/>
    <n v="619157.47069442971"/>
    <n v="625512.76536939328"/>
    <n v="628672.5790861249"/>
    <n v="635516.26939269993"/>
    <n v="640058.15043909766"/>
    <n v="642397.67356779717"/>
    <n v="645971.70997024933"/>
    <n v="649764.85950273043"/>
    <n v="656639.30066030833"/>
  </r>
  <r>
    <x v="0"/>
    <x v="3"/>
    <x v="0"/>
    <m/>
    <n v="1478913.3527223987"/>
    <n v="1950293.251015987"/>
    <n v="2474832.6585146636"/>
    <n v="3038284.8855492407"/>
    <n v="3639857.5985898655"/>
    <n v="4256918.8424600288"/>
    <n v="4875826.0791066261"/>
    <n v="5505273.0941710826"/>
    <n v="6148985.9361379994"/>
    <n v="6759720.4339895817"/>
    <n v="7359072.403551314"/>
    <n v="7960100.6327072578"/>
    <n v="8562509.0689278264"/>
    <n v="9157833.746577844"/>
    <n v="9752447.1292906944"/>
    <n v="10349079.30216535"/>
    <n v="10945621.889921576"/>
    <n v="11541178.73948163"/>
    <n v="12136665.336122198"/>
    <n v="12722445.42904794"/>
    <n v="13302159.842747871"/>
    <n v="13885461.190155666"/>
    <n v="14476563.238387082"/>
    <n v="15053509.720479606"/>
    <n v="15631659.542259688"/>
    <n v="16201106.888553731"/>
    <n v="16763074.759923169"/>
    <n v="17329883.151253134"/>
    <n v="17903329.832268056"/>
  </r>
  <r>
    <x v="0"/>
    <x v="3"/>
    <x v="2"/>
    <n v="7438698.4181075664"/>
    <n v="7694469.3051750381"/>
    <n v="7877034.5746994438"/>
    <n v="7891837.343279968"/>
    <n v="7896323.6220637485"/>
    <n v="7881724.9709048932"/>
    <n v="7853226.151047634"/>
    <n v="7819165.8193145255"/>
    <n v="7792112.0954452101"/>
    <n v="7773699.1010975316"/>
    <n v="7711651.8051904328"/>
    <n v="7646169.6702747196"/>
    <n v="7594980.3768082559"/>
    <n v="7546989.5797173483"/>
    <n v="7498183.060617595"/>
    <n v="7455051.8370197145"/>
    <n v="7421275.8743892182"/>
    <n v="7391392.8628585758"/>
    <n v="7368889.5081969891"/>
    <n v="7351215.6229080828"/>
    <n v="7336605.6942503657"/>
    <n v="7326073.6269466793"/>
    <n v="7317862.4693902321"/>
    <n v="7314246.3711124547"/>
    <n v="7315719.6646511238"/>
    <n v="7324310.3520755479"/>
    <n v="7332391.4171975218"/>
    <n v="7341047.6113196565"/>
    <n v="7356097.5733755259"/>
    <n v="7378556.0921082422"/>
  </r>
  <r>
    <x v="0"/>
    <x v="3"/>
    <x v="3"/>
    <n v="1755382.1497064228"/>
    <n v="1778045.8383616696"/>
    <n v="1807425.989268919"/>
    <n v="1801514.7996773464"/>
    <n v="1803317.3082281926"/>
    <n v="1800594.0884060734"/>
    <n v="1791020.0694216769"/>
    <n v="1780902.3518896592"/>
    <n v="1769510.3770506864"/>
    <n v="1757971.5192038708"/>
    <n v="1732138.6481123315"/>
    <n v="1710142.1777120002"/>
    <n v="1690452.3997273592"/>
    <n v="1669776.0072340772"/>
    <n v="1651522.2736149842"/>
    <n v="1633869.5998724485"/>
    <n v="1620442.6421245821"/>
    <n v="1608639.8368458613"/>
    <n v="1595966.1233692556"/>
    <n v="1585350.2362385702"/>
    <n v="1575501.2948096357"/>
    <n v="1569119.4295863104"/>
    <n v="1563249.7320910976"/>
    <n v="1556249.8968160485"/>
    <n v="1548968.3885717404"/>
    <n v="1543251.3083897152"/>
    <n v="1535039.3027213758"/>
    <n v="1524535.1286623941"/>
    <n v="1517120.8348348506"/>
    <n v="1512930.3830045171"/>
  </r>
  <r>
    <x v="1"/>
    <x v="0"/>
    <x v="0"/>
    <n v="534926238"/>
    <n v="515403537.89077568"/>
    <n v="537801397.17983913"/>
    <n v="543866117.74361718"/>
    <n v="549053112.85369158"/>
    <n v="553029550.27349591"/>
    <n v="556480980.10501873"/>
    <n v="559969490.12310755"/>
    <n v="563694962.8679539"/>
    <n v="566320869.11611187"/>
    <n v="565503806.61680794"/>
    <n v="565220189.97465253"/>
    <n v="565607078.93123353"/>
    <n v="566577558.44187546"/>
    <n v="567981946.08326685"/>
    <n v="569504576.39143682"/>
    <n v="571445373.24526691"/>
    <n v="573367733.16992438"/>
    <n v="575213208.32252455"/>
    <n v="576603566.73893797"/>
    <n v="577791992.02710998"/>
    <n v="579450295.37732494"/>
    <n v="581442575.58389747"/>
    <n v="583841169.98034918"/>
    <n v="586426714.03832376"/>
    <n v="589189996.90320635"/>
    <n v="591985506.59573591"/>
    <n v="595162418.52892029"/>
    <n v="598732315.72189403"/>
    <n v="602675065.71675348"/>
  </r>
  <r>
    <x v="1"/>
    <x v="0"/>
    <x v="1"/>
    <n v="1824194.996"/>
    <n v="1764385.7211992519"/>
    <n v="1929527.3942045288"/>
    <n v="1945516.9535409266"/>
    <n v="1957064.9534811834"/>
    <n v="1958684.7683765115"/>
    <n v="1955912.251295151"/>
    <n v="1950367.8869636781"/>
    <n v="1942449.1581482296"/>
    <n v="1936266.9212803787"/>
    <n v="1918876.969899876"/>
    <n v="1903354.6948283254"/>
    <n v="1887652.5851085116"/>
    <n v="1873400.9014087743"/>
    <n v="1861016.6112370635"/>
    <n v="1849145.3061435716"/>
    <n v="1836874.0173580316"/>
    <n v="1824644.6580960881"/>
    <n v="1812807.5611832624"/>
    <n v="1801581.748150029"/>
    <n v="1790666.8126117145"/>
    <n v="1779973.0034909642"/>
    <n v="1769371.2585269306"/>
    <n v="1759741.1596065473"/>
    <n v="1749771.2528387278"/>
    <n v="1739622.4676902099"/>
    <n v="1729262.1551849195"/>
    <n v="1718816.8451310289"/>
    <n v="1708134.4719498006"/>
    <n v="1697314.8526375059"/>
  </r>
  <r>
    <x v="1"/>
    <x v="1"/>
    <x v="0"/>
    <n v="297267021"/>
    <n v="299991524.19839519"/>
    <n v="302853579.27353168"/>
    <n v="304027022.92412406"/>
    <n v="305291032.54701704"/>
    <n v="305555027.40952098"/>
    <n v="306772205.92021549"/>
    <n v="307846720.18586159"/>
    <n v="309024831.41273564"/>
    <n v="309293702.26208723"/>
    <n v="308234984.12897992"/>
    <n v="307554672.28969181"/>
    <n v="307352648.15253603"/>
    <n v="307532630.01957184"/>
    <n v="307910170.02386832"/>
    <n v="308313330.83266181"/>
    <n v="308822116.53609592"/>
    <n v="309425640.93722063"/>
    <n v="309853009.47059381"/>
    <n v="310038949.97841793"/>
    <n v="310608997.05396456"/>
    <n v="311509723.99855196"/>
    <n v="312604661.73490918"/>
    <n v="313730593.43269593"/>
    <n v="315025928.72410429"/>
    <n v="316029424.36306965"/>
    <n v="317304217.14585358"/>
    <n v="318609536.28450269"/>
    <n v="320262564.1343298"/>
    <n v="322021961.44262731"/>
  </r>
  <r>
    <x v="1"/>
    <x v="1"/>
    <x v="1"/>
    <n v="1213025.5649999999"/>
    <n v="1257035.8801798096"/>
    <n v="1243399.3371146794"/>
    <n v="1251548.7050696395"/>
    <n v="1262539.9226603934"/>
    <n v="1268472.828770414"/>
    <n v="1278867.6573850319"/>
    <n v="1283928.6217817564"/>
    <n v="1284551.3699822107"/>
    <n v="1286031.3918148079"/>
    <n v="1281612.6058868384"/>
    <n v="1278956.9816626117"/>
    <n v="1275399.7776365937"/>
    <n v="1273072.6224871841"/>
    <n v="1272302.3050511486"/>
    <n v="1271345.1788981182"/>
    <n v="1269076.2379495809"/>
    <n v="1266126.012941594"/>
    <n v="1262984.5785624888"/>
    <n v="1259844.330272078"/>
    <n v="1257005.1816608503"/>
    <n v="1254383.2422133342"/>
    <n v="1251725.6852670547"/>
    <n v="1249858.7411925213"/>
    <n v="1247743.4581370454"/>
    <n v="1245300.0931755991"/>
    <n v="1242523.5096439298"/>
    <n v="1239630.5473956049"/>
    <n v="1236406.8065571839"/>
    <n v="1232954.4177602718"/>
  </r>
  <r>
    <x v="1"/>
    <x v="2"/>
    <x v="0"/>
    <n v="1080113676"/>
    <n v="1112105141.3716249"/>
    <n v="1146944978.0134408"/>
    <n v="1153151997.282891"/>
    <n v="1168021851.1824667"/>
    <n v="1183363764.4893157"/>
    <n v="1191326215.1422594"/>
    <n v="1198688404.846725"/>
    <n v="1210325826.5569217"/>
    <n v="1218162409.049125"/>
    <n v="1220115584.5612609"/>
    <n v="1223009206.5946102"/>
    <n v="1224705452.2577908"/>
    <n v="1225739009.5911145"/>
    <n v="1227706817.405894"/>
    <n v="1229690157.784483"/>
    <n v="1234410566.822711"/>
    <n v="1237985429.6812501"/>
    <n v="1240400873.9350898"/>
    <n v="1241537196.1792717"/>
    <n v="1245434353.7373083"/>
    <n v="1251163609.3472555"/>
    <n v="1255796407.6477375"/>
    <n v="1258670728.2685285"/>
    <n v="1262261101.4159241"/>
    <n v="1266405556.2603991"/>
    <n v="1267509801.8596165"/>
    <n v="1266870526.2744412"/>
    <n v="1268933211.6434364"/>
    <n v="1275644722.2301059"/>
  </r>
  <r>
    <x v="1"/>
    <x v="2"/>
    <x v="1"/>
    <n v="5801514.1289999997"/>
    <n v="5948126.4321108507"/>
    <n v="6182577.4268402662"/>
    <n v="6210508.1871079942"/>
    <n v="6258885.4516207688"/>
    <n v="6341312.4666263051"/>
    <n v="6346216.1898993906"/>
    <n v="6355022.8383212071"/>
    <n v="6388150.3894919036"/>
    <n v="6425123.5297353957"/>
    <n v="6412901.7058872292"/>
    <n v="6423497.3779967288"/>
    <n v="6410657.1382670067"/>
    <n v="6401307.1467538169"/>
    <n v="6413246.3167669745"/>
    <n v="6414861.6585954893"/>
    <n v="6425632.7375536952"/>
    <n v="6445276.6791202063"/>
    <n v="6455103.8827662114"/>
    <n v="6472715.9135347819"/>
    <n v="6506310.3564469973"/>
    <n v="6555303.9443359189"/>
    <n v="6613118.3687053947"/>
    <n v="6636986.9436297966"/>
    <n v="6699787.5089683272"/>
    <n v="6738161.7127440386"/>
    <n v="6753262.2915914422"/>
    <n v="6781369.4210280478"/>
    <n v="6811753.9067664333"/>
    <n v="6874453.5971833011"/>
  </r>
  <r>
    <x v="1"/>
    <x v="3"/>
    <x v="0"/>
    <m/>
    <n v="953656.3415918682"/>
    <n v="1255494.4177967529"/>
    <n v="1590493.8818475436"/>
    <n v="1949357.4759271068"/>
    <n v="2331469.2331345407"/>
    <n v="2722252.3062952347"/>
    <n v="3112965.1873547048"/>
    <n v="3509160.7604112611"/>
    <n v="3913194.7357397629"/>
    <n v="4295022.3250046503"/>
    <n v="4668459.5911319507"/>
    <n v="5041827.4035355039"/>
    <n v="5414948.6541150026"/>
    <n v="5782489.7836996885"/>
    <n v="6148503.5533389309"/>
    <n v="6514724.7794057308"/>
    <n v="6879836.4090985786"/>
    <n v="7243289.9949972704"/>
    <n v="7605675.4964529676"/>
    <n v="7960976.5282948157"/>
    <n v="8311507.72098199"/>
    <n v="8663320.5940205175"/>
    <n v="9019042.8466779906"/>
    <n v="9365006.2860212028"/>
    <n v="9710802.0266555026"/>
    <n v="10050293.384850927"/>
    <n v="10384272.133079724"/>
    <n v="10720389.919523127"/>
    <n v="11059755.484797271"/>
  </r>
  <r>
    <x v="1"/>
    <x v="3"/>
    <x v="2"/>
    <n v="5069262.1115426831"/>
    <n v="5235215.3881928865"/>
    <n v="5350781.426763841"/>
    <n v="5351868.0419304408"/>
    <n v="5345996.35458396"/>
    <n v="5327254.4758709213"/>
    <n v="5299216.0539881391"/>
    <n v="5267562.2058835654"/>
    <n v="5240790.0363015691"/>
    <n v="5219975.1264154902"/>
    <n v="5169929.2116419235"/>
    <n v="5117785.5806861706"/>
    <n v="5075436.8292809818"/>
    <n v="5035408.7466748338"/>
    <n v="4995006.3262084434"/>
    <n v="4958560.589969079"/>
    <n v="4928502.9827976935"/>
    <n v="4901169.575385727"/>
    <n v="4878862.2029303536"/>
    <n v="4859865.9769567093"/>
    <n v="4842996.146648488"/>
    <n v="4828912.6557898624"/>
    <n v="4816442.6155501911"/>
    <n v="4807077.2039584331"/>
    <n v="4801127.587916255"/>
    <n v="4799911.2607957106"/>
    <n v="4798402.0703661721"/>
    <n v="4797311.7927898681"/>
    <n v="4800446.0617361199"/>
    <n v="4808449.978134593"/>
  </r>
  <r>
    <x v="1"/>
    <x v="3"/>
    <x v="3"/>
    <n v="1196243.1759854497"/>
    <n v="1209674.2325509079"/>
    <n v="1227649.4842540738"/>
    <n v="1221566.1069260947"/>
    <n v="1220754.5868075381"/>
    <n v="1216889.0134105159"/>
    <n v="1208410.5458048042"/>
    <n v="1199604.2917416138"/>
    <n v="1189978.6353263322"/>
    <n v="1180296.6266585949"/>
    <n v="1161044.7042286182"/>
    <n v="1144441.41669114"/>
    <n v="1129447.9151691077"/>
    <n v="1113852.0854539748"/>
    <n v="1099934.0631489207"/>
    <n v="1086470.2989628688"/>
    <n v="1075872.1559678272"/>
    <n v="1066395.9398297735"/>
    <n v="1056379.6096306005"/>
    <n v="1047766.7625185605"/>
    <n v="1039696.2711383088"/>
    <n v="1033949.8746222791"/>
    <n v="1028566.9855946315"/>
    <n v="1022463.6332322228"/>
    <n v="1016201.0309733254"/>
    <n v="1010992.5241843878"/>
    <n v="1004170.2488920684"/>
    <n v="995873.79234998126"/>
    <n v="989629.89950564306"/>
    <n v="985517.08538450918"/>
  </r>
  <r>
    <x v="2"/>
    <x v="0"/>
    <x v="0"/>
    <n v="2609692474"/>
    <n v="2498395813.5190587"/>
    <n v="2592786402.828196"/>
    <n v="2606812764.7066779"/>
    <n v="2616353798.0748353"/>
    <n v="2619890107.4705172"/>
    <n v="2620792068.6564226"/>
    <n v="2621767699.8754396"/>
    <n v="2623756202.2095623"/>
    <n v="2620480979.090694"/>
    <n v="2601125969.661582"/>
    <n v="2584375348.9911513"/>
    <n v="2570814310.2576785"/>
    <n v="2559989655.2449527"/>
    <n v="2551173072.5496984"/>
    <n v="2542903004.0457902"/>
    <n v="2536517025.043571"/>
    <n v="2530032334.4359603"/>
    <n v="2523191090.8089833"/>
    <n v="2514330480.4525046"/>
    <n v="2504596801.8966851"/>
    <n v="2496935139.1430998"/>
    <n v="2490719838.7429681"/>
    <n v="2486236963.5683346"/>
    <n v="2482515957.9661703"/>
    <n v="2479503748.5358934"/>
    <n v="2476571333.2921681"/>
    <n v="2475186245.4805889"/>
    <n v="2475369030.1452427"/>
    <n v="2477007527.3958416"/>
  </r>
  <r>
    <x v="2"/>
    <x v="0"/>
    <x v="1"/>
    <n v="12685354.491"/>
    <n v="12191691.023874894"/>
    <n v="13267221.931330269"/>
    <n v="13299088.706495984"/>
    <n v="13299582.096470889"/>
    <n v="13231739.271307059"/>
    <n v="13134385.344549673"/>
    <n v="13018995.85886508"/>
    <n v="12888568.615033921"/>
    <n v="12770819.80354563"/>
    <n v="12579650.720056707"/>
    <n v="12402623.418966098"/>
    <n v="12226077.719624409"/>
    <n v="12060642.127900528"/>
    <n v="11908831.542269643"/>
    <n v="11761695.777035054"/>
    <n v="11613321.81718269"/>
    <n v="11466554.970753625"/>
    <n v="11323593.541636279"/>
    <n v="11185757.594667623"/>
    <n v="11051090.511878978"/>
    <n v="10918989.567870075"/>
    <n v="10788623.392097747"/>
    <n v="10665366.918151241"/>
    <n v="10541107.125042196"/>
    <n v="10416847.647965832"/>
    <n v="10292402.271784149"/>
    <n v="10168542.469797704"/>
    <n v="10044363.296047328"/>
    <n v="9920471.6249039769"/>
  </r>
  <r>
    <x v="2"/>
    <x v="1"/>
    <x v="0"/>
    <n v="2563955866"/>
    <n v="2572377939.6122427"/>
    <n v="2581799844.9011769"/>
    <n v="2576542227.8229389"/>
    <n v="2572029176.5013685"/>
    <n v="2559004810.416028"/>
    <n v="2554074707.1673646"/>
    <n v="2547918420.085856"/>
    <n v="2542607634.2420416"/>
    <n v="2529744338.2413006"/>
    <n v="2506020224.0827179"/>
    <n v="2485582445.4950771"/>
    <n v="2469185941.2585893"/>
    <n v="2455981882.1090069"/>
    <n v="2444432630.9110665"/>
    <n v="2433136311.9721084"/>
    <n v="2422723996.9953389"/>
    <n v="2413094491.2034326"/>
    <n v="2402109061.8230562"/>
    <n v="2389283017.3499289"/>
    <n v="2379498781.6004982"/>
    <n v="2372291139.4058685"/>
    <n v="2366569171.3306365"/>
    <n v="2361063542.7957764"/>
    <n v="2356818074.307467"/>
    <n v="2350338972.3983603"/>
    <n v="2345878538.953403"/>
    <n v="2341610216.2101073"/>
    <n v="2339875283.7459025"/>
    <n v="2338854765.4802322"/>
  </r>
  <r>
    <x v="2"/>
    <x v="1"/>
    <x v="1"/>
    <n v="9705752.7609999999"/>
    <n v="10002379.926116517"/>
    <n v="9833870.8556605373"/>
    <n v="9840351.0274165645"/>
    <n v="9868891.8388249557"/>
    <n v="9856983.5918819774"/>
    <n v="9879750.03277025"/>
    <n v="9860455.4099974949"/>
    <n v="9806754.3725690413"/>
    <n v="9759924.0421151072"/>
    <n v="9668267.5005153213"/>
    <n v="9590731.4173764624"/>
    <n v="9506968.7027858924"/>
    <n v="9433079.7903480139"/>
    <n v="9371329.8355034776"/>
    <n v="9308587.7437396459"/>
    <n v="9236588.7822608519"/>
    <n v="9160118.4971706234"/>
    <n v="9082828.3572738562"/>
    <n v="9006130.2299333997"/>
    <n v="8932175.6799470466"/>
    <n v="8860321.318673417"/>
    <n v="8788738.2163937204"/>
    <n v="8723262.1860654131"/>
    <n v="8656494.3908600938"/>
    <n v="8587905.7247392982"/>
    <n v="8517497.6564925965"/>
    <n v="8446802.8263730295"/>
    <n v="8374361.7086224882"/>
    <n v="8300906.5676011369"/>
  </r>
  <r>
    <x v="2"/>
    <x v="2"/>
    <x v="0"/>
    <n v="1578112546"/>
    <n v="1615765713.7537293"/>
    <n v="1657096013.4359932"/>
    <n v="1656283816.1980772"/>
    <n v="1667940181.0602021"/>
    <n v="1680081420.670608"/>
    <n v="1681484081.5803003"/>
    <n v="1681959418.0469344"/>
    <n v="1688404787.7822411"/>
    <n v="1689382159.4717677"/>
    <n v="1682080919.6386712"/>
    <n v="1676110240.4399085"/>
    <n v="1668499532.931525"/>
    <n v="1660010764.5284488"/>
    <n v="1652835380.5079153"/>
    <n v="1645706226.191159"/>
    <n v="1642286602.1223745"/>
    <n v="1637314847.5744457"/>
    <n v="1630799814.7216358"/>
    <n v="1622610566.1909907"/>
    <n v="1618088393.1414058"/>
    <n v="1615954756.4390054"/>
    <n v="1612362439.0977061"/>
    <n v="1606481892.8924241"/>
    <n v="1601530691.3429501"/>
    <n v="1597285696.2688634"/>
    <n v="1589173977.0930099"/>
    <n v="1578899735.1613746"/>
    <n v="1572075391.0936017"/>
    <n v="1571066317.1184278"/>
  </r>
  <r>
    <x v="2"/>
    <x v="2"/>
    <x v="1"/>
    <n v="5293680.7110000001"/>
    <n v="5396836.5385175552"/>
    <n v="5578793.5831447216"/>
    <n v="5571041.4757640343"/>
    <n v="5581637.5131938448"/>
    <n v="5622461.7929657903"/>
    <n v="5593473.3848244604"/>
    <n v="5568090.9125883849"/>
    <n v="5564247.4492354523"/>
    <n v="5563623.1086497204"/>
    <n v="5519958.5911059519"/>
    <n v="5496370.6917759683"/>
    <n v="5452692.7531774119"/>
    <n v="5412322.2955951551"/>
    <n v="5390341.5487180213"/>
    <n v="5359697.4944359632"/>
    <n v="5336916.9071193887"/>
    <n v="5321625.2212871304"/>
    <n v="5298167.368174375"/>
    <n v="5281220.9234536299"/>
    <n v="5277399.4523933074"/>
    <n v="5285995.0914436691"/>
    <n v="5301451.8625984676"/>
    <n v="5289158.4773739027"/>
    <n v="5308025.0157665052"/>
    <n v="5307007.3771999357"/>
    <n v="5287365.1592663582"/>
    <n v="5278001.332330429"/>
    <n v="5270333.42277232"/>
    <n v="5287709.7552071465"/>
  </r>
  <r>
    <x v="2"/>
    <x v="3"/>
    <x v="0"/>
    <m/>
    <n v="4710636.9287564019"/>
    <n v="6164997.1485906234"/>
    <n v="7763911.8531540083"/>
    <n v="9459554.2428049948"/>
    <n v="11247072.895967033"/>
    <n v="13054758.269581277"/>
    <n v="14840390.186050765"/>
    <n v="16630481.647728289"/>
    <n v="18435859.828456238"/>
    <n v="20115348.354049262"/>
    <n v="21735303.49578749"/>
    <n v="23335106.271527838"/>
    <n v="24914119.433663048"/>
    <n v="26448138.183791704"/>
    <n v="27956209.596302517"/>
    <n v="29446461.363398738"/>
    <n v="30913119.73579954"/>
    <n v="32353982.312564701"/>
    <n v="33771956.714180693"/>
    <n v="35140724.162527867"/>
    <n v="36471147.854464628"/>
    <n v="37790143.442776322"/>
    <n v="39109149.592904635"/>
    <n v="40369089.240210362"/>
    <n v="41611950.792523943"/>
    <n v="42811742.97160051"/>
    <n v="43972430.814397924"/>
    <n v="45126769.30750747"/>
    <n v="46279365.081995919"/>
  </r>
  <r>
    <x v="2"/>
    <x v="3"/>
    <x v="2"/>
    <n v="21080811.626997966"/>
    <n v="21649923.675707266"/>
    <n v="22002198.147301707"/>
    <n v="21876131.047437929"/>
    <n v="21722178.69470622"/>
    <n v="21516680.539828289"/>
    <n v="21275088.217270091"/>
    <n v="21021009.194349889"/>
    <n v="20788797.858741432"/>
    <n v="20582373.346801635"/>
    <n v="20261720.16685167"/>
    <n v="19935890.205766927"/>
    <n v="19651608.179672591"/>
    <n v="19379039.448860854"/>
    <n v="19107563.676245116"/>
    <n v="18853851.0005395"/>
    <n v="18626904.027255278"/>
    <n v="18412331.768469792"/>
    <n v="18218628.879878279"/>
    <n v="18038995.581421882"/>
    <n v="17868770.583001234"/>
    <n v="17710248.148094762"/>
    <n v="17558903.875746869"/>
    <n v="17420089.195837941"/>
    <n v="17294724.683159489"/>
    <n v="17187353.123692915"/>
    <n v="17079556.135404482"/>
    <n v="16973895.916929159"/>
    <n v="16883885.718859795"/>
    <n v="16811534.254184648"/>
  </r>
  <r>
    <x v="2"/>
    <x v="3"/>
    <x v="3"/>
    <n v="4974644.533546444"/>
    <n v="5001306.4562993404"/>
    <n v="5046385.306854466"/>
    <n v="4991285.1329337917"/>
    <n v="4958332.2249434916"/>
    <n v="4913116.9704795806"/>
    <n v="4849529.5437908638"/>
    <n v="4785202.8657957762"/>
    <n v="4718182.9716700017"/>
    <n v="4651567.4529065257"/>
    <n v="4547639.2271037325"/>
    <n v="4455229.2535881782"/>
    <n v="4370068.4705104865"/>
    <n v="4283423.3870214978"/>
    <n v="4204150.0032448545"/>
    <n v="4127417.6540232357"/>
    <n v="4062402.5871120016"/>
    <n v="4002275.7325607697"/>
    <n v="3940679.5051868334"/>
    <n v="3884939.4529126799"/>
    <n v="3831743.1129971803"/>
    <n v="3787654.9387104549"/>
    <n v="3745290.1970011112"/>
    <n v="3700650.9571964699"/>
    <n v="3655825.0868969345"/>
    <n v="3615210.7904105638"/>
    <n v="3569139.0109370565"/>
    <n v="3518210.9275169261"/>
    <n v="3475052.2446859977"/>
    <n v="3439804.102249477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rojections by County" cacheId="5" applyNumberFormats="0" applyBorderFormats="0" applyFontFormats="0" applyPatternFormats="0" applyAlignmentFormats="0" applyWidthHeightFormats="0" dataCaption="" updatedVersion="6" rowGrandTotals="0" compact="0" compactData="0">
  <location ref="A144:AG172" firstHeaderRow="1" firstDataRow="2" firstDataCol="3"/>
  <pivotFields count="33">
    <pivotField name="County" axis="axisRow" compact="0" outline="0" multipleItemSelectionAllowed="1" showAll="0" sortType="ascending" defaultSubtotal="0">
      <items count="3">
        <item x="0"/>
        <item x="1"/>
        <item x="2"/>
      </items>
    </pivotField>
    <pivotField name="Sector" axis="axisRow" compact="0" outline="0" multipleItemSelectionAllowed="1" showAll="0" sortType="ascending" defaultSubtotal="0">
      <items count="4">
        <item x="1"/>
        <item x="2"/>
        <item x="0"/>
        <item x="3"/>
      </items>
    </pivotField>
    <pivotField name="Fuel - MMBTU" axis="axisRow" compact="0" outline="0" multipleItemSelectionAllowed="1" showAll="0" sortType="ascending">
      <items count="5">
        <item x="3"/>
        <item x="0"/>
        <item x="2"/>
        <item x="1"/>
        <item t="default"/>
      </items>
    </pivotField>
    <pivotField name="2021" dataField="1" compact="0" numFmtId="3" outline="0" multipleItemSelectionAllowed="1" showAll="0"/>
    <pivotField name="2022" dataField="1" compact="0" numFmtId="3" outline="0" multipleItemSelectionAllowed="1" showAll="0"/>
    <pivotField name="2023" dataField="1" compact="0" numFmtId="3" outline="0" multipleItemSelectionAllowed="1" showAll="0"/>
    <pivotField name="2024" dataField="1" compact="0" numFmtId="3" outline="0" multipleItemSelectionAllowed="1" showAll="0"/>
    <pivotField name="2025" dataField="1" compact="0" numFmtId="3" outline="0" multipleItemSelectionAllowed="1" showAll="0"/>
    <pivotField name="2026" dataField="1" compact="0" numFmtId="3" outline="0" multipleItemSelectionAllowed="1" showAll="0"/>
    <pivotField name="2027" dataField="1" compact="0" numFmtId="3" outline="0" multipleItemSelectionAllowed="1" showAll="0"/>
    <pivotField name="2028" dataField="1" compact="0" numFmtId="3" outline="0" multipleItemSelectionAllowed="1" showAll="0"/>
    <pivotField name="2029" dataField="1" compact="0" numFmtId="3" outline="0" multipleItemSelectionAllowed="1" showAll="0"/>
    <pivotField name="2030" dataField="1" compact="0" numFmtId="3" outline="0" multipleItemSelectionAllowed="1" showAll="0"/>
    <pivotField name="2031" dataField="1" compact="0" numFmtId="3" outline="0" multipleItemSelectionAllowed="1" showAll="0"/>
    <pivotField name="2032" dataField="1" compact="0" numFmtId="3" outline="0" multipleItemSelectionAllowed="1" showAll="0"/>
    <pivotField name="2033" dataField="1" compact="0" numFmtId="3" outline="0" multipleItemSelectionAllowed="1" showAll="0"/>
    <pivotField name="2034" dataField="1" compact="0" numFmtId="3" outline="0" multipleItemSelectionAllowed="1" showAll="0"/>
    <pivotField name="2035" dataField="1" compact="0" numFmtId="3" outline="0" multipleItemSelectionAllowed="1" showAll="0"/>
    <pivotField name="2036" dataField="1" compact="0" numFmtId="3" outline="0" multipleItemSelectionAllowed="1" showAll="0"/>
    <pivotField name="2037" dataField="1" compact="0" numFmtId="3" outline="0" multipleItemSelectionAllowed="1" showAll="0"/>
    <pivotField name="2038" dataField="1" compact="0" numFmtId="3" outline="0" multipleItemSelectionAllowed="1" showAll="0"/>
    <pivotField name="2039" dataField="1" compact="0" numFmtId="3" outline="0" multipleItemSelectionAllowed="1" showAll="0"/>
    <pivotField name="2040" dataField="1" compact="0" numFmtId="3" outline="0" multipleItemSelectionAllowed="1" showAll="0"/>
    <pivotField name="2041" dataField="1" compact="0" numFmtId="3" outline="0" multipleItemSelectionAllowed="1" showAll="0"/>
    <pivotField name="2042" dataField="1" compact="0" numFmtId="3" outline="0" multipleItemSelectionAllowed="1" showAll="0"/>
    <pivotField name="2043" dataField="1" compact="0" numFmtId="3" outline="0" multipleItemSelectionAllowed="1" showAll="0"/>
    <pivotField name="2044" dataField="1" compact="0" numFmtId="3" outline="0" multipleItemSelectionAllowed="1" showAll="0"/>
    <pivotField name="2045" dataField="1" compact="0" numFmtId="3" outline="0" multipleItemSelectionAllowed="1" showAll="0"/>
    <pivotField name="2046" dataField="1" compact="0" numFmtId="3" outline="0" multipleItemSelectionAllowed="1" showAll="0"/>
    <pivotField name="2047" dataField="1" compact="0" numFmtId="3" outline="0" multipleItemSelectionAllowed="1" showAll="0"/>
    <pivotField name="2048" dataField="1" compact="0" numFmtId="3" outline="0" multipleItemSelectionAllowed="1" showAll="0"/>
    <pivotField name="2049" dataField="1" compact="0" numFmtId="3" outline="0" multipleItemSelectionAllowed="1" showAll="0"/>
    <pivotField name="2050" dataField="1" compact="0" numFmtId="3" outline="0" multipleItemSelectionAllowed="1" showAll="0"/>
  </pivotFields>
  <rowFields count="3">
    <field x="0"/>
    <field x="1"/>
    <field x="2"/>
  </rowFields>
  <rowItems count="27">
    <i>
      <x/>
      <x/>
      <x v="1"/>
    </i>
    <i r="2">
      <x v="3"/>
    </i>
    <i r="1">
      <x v="1"/>
      <x v="1"/>
    </i>
    <i r="2">
      <x v="3"/>
    </i>
    <i r="1">
      <x v="2"/>
      <x v="1"/>
    </i>
    <i r="2">
      <x v="3"/>
    </i>
    <i r="1">
      <x v="3"/>
      <x/>
    </i>
    <i r="2">
      <x v="1"/>
    </i>
    <i r="2">
      <x v="2"/>
    </i>
    <i>
      <x v="1"/>
      <x/>
      <x v="1"/>
    </i>
    <i r="2">
      <x v="3"/>
    </i>
    <i r="1">
      <x v="1"/>
      <x v="1"/>
    </i>
    <i r="2">
      <x v="3"/>
    </i>
    <i r="1">
      <x v="2"/>
      <x v="1"/>
    </i>
    <i r="2">
      <x v="3"/>
    </i>
    <i r="1">
      <x v="3"/>
      <x/>
    </i>
    <i r="2">
      <x v="1"/>
    </i>
    <i r="2">
      <x v="2"/>
    </i>
    <i>
      <x v="2"/>
      <x/>
      <x v="1"/>
    </i>
    <i r="2">
      <x v="3"/>
    </i>
    <i r="1">
      <x v="1"/>
      <x v="1"/>
    </i>
    <i r="2">
      <x v="3"/>
    </i>
    <i r="1">
      <x v="2"/>
      <x v="1"/>
    </i>
    <i r="2">
      <x v="3"/>
    </i>
    <i r="1">
      <x v="3"/>
      <x/>
    </i>
    <i r="2">
      <x v="1"/>
    </i>
    <i r="2">
      <x v="2"/>
    </i>
  </rowItems>
  <colFields count="1">
    <field x="-2"/>
  </colFields>
  <colItems count="3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</colItems>
  <dataFields count="30">
    <dataField name="SUM of 2021" fld="3" baseField="0"/>
    <dataField name="SUM of 2022" fld="4" baseField="0"/>
    <dataField name="SUM of 2023" fld="5" baseField="0"/>
    <dataField name="SUM of 2024" fld="6" baseField="0"/>
    <dataField name="SUM of 2025" fld="7" baseField="0"/>
    <dataField name="SUM of 2026" fld="8" baseField="0"/>
    <dataField name="SUM of 2027" fld="9" baseField="0"/>
    <dataField name="SUM of 2028" fld="10" baseField="0"/>
    <dataField name="SUM of 2029" fld="11" baseField="0"/>
    <dataField name="SUM of 2030" fld="12" baseField="0"/>
    <dataField name="SUM of 2031" fld="13" baseField="0"/>
    <dataField name="SUM of 2032" fld="14" baseField="0"/>
    <dataField name="SUM of 2033" fld="15" baseField="0"/>
    <dataField name="SUM of 2034" fld="16" baseField="0"/>
    <dataField name="SUM of 2035" fld="17" baseField="0"/>
    <dataField name="SUM of 2036" fld="18" baseField="0"/>
    <dataField name="SUM of 2037" fld="19" baseField="0"/>
    <dataField name="SUM of 2038" fld="20" baseField="0"/>
    <dataField name="SUM of 2039" fld="21" baseField="0"/>
    <dataField name="SUM of 2040" fld="22" baseField="0"/>
    <dataField name="SUM of 2041" fld="23" baseField="0"/>
    <dataField name="SUM of 2042" fld="24" baseField="0"/>
    <dataField name="SUM of 2043" fld="25" baseField="0"/>
    <dataField name="SUM of 2044" fld="26" baseField="0"/>
    <dataField name="SUM of 2045" fld="27" baseField="0"/>
    <dataField name="SUM of 2046" fld="28" baseField="0"/>
    <dataField name="SUM of 2047" fld="29" baseField="0"/>
    <dataField name="SUM of 2048" fld="30" baseField="0"/>
    <dataField name="SUM of 2049" fld="31" baseField="0"/>
    <dataField name="SUM of 2050" fld="32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hyperlink" Target="https://www.epa.gov/system/files/documents/2023-12/warm_organic_materials_v16_dec.pdf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s://drive.google.com/file/d/1mPNhhyyGyI0VVPGW4QLoz3lcijG3EK0c/view?usp=drive_link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bts.gov/product/national-transportation-statistics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pa.gov/statelocalenergy/local-greenhouse-gas-inventory-tool" TargetMode="External"/><Relationship Id="rId2" Type="http://schemas.openxmlformats.org/officeDocument/2006/relationships/hyperlink" Target="https://ecocostsavings.com/average-electric-car-kwh-per-mile/" TargetMode="External"/><Relationship Id="rId1" Type="http://schemas.openxmlformats.org/officeDocument/2006/relationships/hyperlink" Target="https://www.fueleconomy.gov/feg/pdfs/guides/FEG2023.pdf" TargetMode="External"/><Relationship Id="rId4" Type="http://schemas.openxmlformats.org/officeDocument/2006/relationships/hyperlink" Target="https://www.aceee.org/sites/default/files/pdfs/electric_trucks_1.pdf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nrel.gov/docs/fy16osti/65298.pdf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caleemod.com/documents/handbook/full_handbook.pdf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ia.gov/outlooks/aeo/data/browser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hyperlink" Target="https://www.nrel.gov/gis/solar-supply-curves.html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eta-publications.lbl.gov/sites/default/files/the_costs_of_home_decarbonization_9.13.22.pdf" TargetMode="External"/><Relationship Id="rId1" Type="http://schemas.openxmlformats.org/officeDocument/2006/relationships/hyperlink" Target="https://www.pembina.org/docs/event/netzeroforum-backgrounder-2016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0FECC-AC3B-41C6-9EBD-4F9C4B3C7996}">
  <dimension ref="A1:D33"/>
  <sheetViews>
    <sheetView workbookViewId="0">
      <selection activeCell="F11" sqref="F11"/>
    </sheetView>
  </sheetViews>
  <sheetFormatPr defaultColWidth="8.88671875" defaultRowHeight="13.2"/>
  <cols>
    <col min="1" max="1" width="3" bestFit="1" customWidth="1"/>
    <col min="2" max="2" width="32.109375" customWidth="1"/>
    <col min="3" max="3" width="21.5546875" customWidth="1"/>
    <col min="4" max="4" width="22.88671875" customWidth="1"/>
  </cols>
  <sheetData>
    <row r="1" spans="1:4" ht="17.399999999999999">
      <c r="A1" s="200"/>
      <c r="B1" s="200" t="s">
        <v>733</v>
      </c>
      <c r="C1" s="200" t="s">
        <v>734</v>
      </c>
    </row>
    <row r="2" spans="1:4">
      <c r="A2">
        <v>1</v>
      </c>
      <c r="B2" t="s">
        <v>738</v>
      </c>
      <c r="C2" s="199" t="str">
        <f>HYPERLINK("#'"&amp;B2&amp;"'!A1","Go to Sheet")</f>
        <v>Go to Sheet</v>
      </c>
    </row>
    <row r="3" spans="1:4">
      <c r="A3">
        <v>2</v>
      </c>
      <c r="B3" t="s">
        <v>739</v>
      </c>
      <c r="C3" s="199" t="str">
        <f t="shared" ref="C3:C33" si="0">HYPERLINK("#'"&amp;B3&amp;"'!A1","Go to Sheet")</f>
        <v>Go to Sheet</v>
      </c>
      <c r="D3" s="201" t="s">
        <v>735</v>
      </c>
    </row>
    <row r="4" spans="1:4">
      <c r="A4">
        <v>3</v>
      </c>
      <c r="B4" t="s">
        <v>740</v>
      </c>
      <c r="C4" s="199" t="str">
        <f t="shared" si="0"/>
        <v>Go to Sheet</v>
      </c>
      <c r="D4" s="201"/>
    </row>
    <row r="5" spans="1:4">
      <c r="A5">
        <v>4</v>
      </c>
      <c r="B5" t="s">
        <v>741</v>
      </c>
      <c r="C5" s="199" t="str">
        <f t="shared" si="0"/>
        <v>Go to Sheet</v>
      </c>
      <c r="D5" s="202" t="s">
        <v>736</v>
      </c>
    </row>
    <row r="6" spans="1:4">
      <c r="A6">
        <v>5</v>
      </c>
      <c r="B6" t="s">
        <v>742</v>
      </c>
      <c r="C6" s="199" t="str">
        <f t="shared" si="0"/>
        <v>Go to Sheet</v>
      </c>
      <c r="D6" s="203"/>
    </row>
    <row r="7" spans="1:4">
      <c r="A7">
        <v>6</v>
      </c>
      <c r="B7" t="s">
        <v>743</v>
      </c>
      <c r="C7" s="199" t="str">
        <f t="shared" si="0"/>
        <v>Go to Sheet</v>
      </c>
      <c r="D7" s="203"/>
    </row>
    <row r="8" spans="1:4">
      <c r="A8">
        <v>7</v>
      </c>
      <c r="B8" t="s">
        <v>744</v>
      </c>
      <c r="C8" s="199" t="str">
        <f t="shared" si="0"/>
        <v>Go to Sheet</v>
      </c>
      <c r="D8" s="203"/>
    </row>
    <row r="9" spans="1:4">
      <c r="A9">
        <v>8</v>
      </c>
      <c r="B9" t="s">
        <v>745</v>
      </c>
      <c r="C9" s="199" t="str">
        <f t="shared" si="0"/>
        <v>Go to Sheet</v>
      </c>
      <c r="D9" s="203"/>
    </row>
    <row r="10" spans="1:4">
      <c r="A10">
        <v>9</v>
      </c>
      <c r="B10" t="s">
        <v>746</v>
      </c>
      <c r="C10" s="199" t="str">
        <f t="shared" si="0"/>
        <v>Go to Sheet</v>
      </c>
      <c r="D10" s="203"/>
    </row>
    <row r="11" spans="1:4">
      <c r="A11">
        <v>10</v>
      </c>
      <c r="B11" t="s">
        <v>747</v>
      </c>
      <c r="C11" s="199" t="str">
        <f t="shared" si="0"/>
        <v>Go to Sheet</v>
      </c>
      <c r="D11" s="203"/>
    </row>
    <row r="12" spans="1:4">
      <c r="A12">
        <v>11</v>
      </c>
      <c r="B12" t="s">
        <v>748</v>
      </c>
      <c r="C12" s="199" t="str">
        <f t="shared" si="0"/>
        <v>Go to Sheet</v>
      </c>
      <c r="D12" s="203"/>
    </row>
    <row r="13" spans="1:4">
      <c r="A13">
        <v>12</v>
      </c>
      <c r="B13" t="s">
        <v>749</v>
      </c>
      <c r="C13" s="199" t="str">
        <f t="shared" si="0"/>
        <v>Go to Sheet</v>
      </c>
      <c r="D13" s="203"/>
    </row>
    <row r="14" spans="1:4">
      <c r="A14">
        <v>13</v>
      </c>
      <c r="B14" t="s">
        <v>750</v>
      </c>
      <c r="C14" s="199" t="str">
        <f t="shared" si="0"/>
        <v>Go to Sheet</v>
      </c>
      <c r="D14" s="203"/>
    </row>
    <row r="15" spans="1:4">
      <c r="A15">
        <v>14</v>
      </c>
      <c r="B15" t="s">
        <v>751</v>
      </c>
      <c r="C15" s="199" t="str">
        <f t="shared" si="0"/>
        <v>Go to Sheet</v>
      </c>
      <c r="D15" s="203"/>
    </row>
    <row r="16" spans="1:4">
      <c r="A16">
        <v>15</v>
      </c>
      <c r="B16" t="s">
        <v>752</v>
      </c>
      <c r="C16" s="199" t="str">
        <f t="shared" si="0"/>
        <v>Go to Sheet</v>
      </c>
      <c r="D16" s="203"/>
    </row>
    <row r="17" spans="1:4">
      <c r="A17">
        <v>16</v>
      </c>
      <c r="B17" t="s">
        <v>753</v>
      </c>
      <c r="C17" s="199" t="str">
        <f t="shared" si="0"/>
        <v>Go to Sheet</v>
      </c>
      <c r="D17" s="203"/>
    </row>
    <row r="18" spans="1:4">
      <c r="A18">
        <v>17</v>
      </c>
      <c r="B18" t="s">
        <v>754</v>
      </c>
      <c r="C18" s="199" t="str">
        <f t="shared" si="0"/>
        <v>Go to Sheet</v>
      </c>
      <c r="D18" s="204" t="s">
        <v>737</v>
      </c>
    </row>
    <row r="19" spans="1:4">
      <c r="A19">
        <v>18</v>
      </c>
      <c r="B19" t="s">
        <v>755</v>
      </c>
      <c r="C19" s="199" t="str">
        <f t="shared" si="0"/>
        <v>Go to Sheet</v>
      </c>
      <c r="D19" s="205"/>
    </row>
    <row r="20" spans="1:4">
      <c r="A20">
        <v>19</v>
      </c>
      <c r="B20" t="s">
        <v>756</v>
      </c>
      <c r="C20" s="199" t="str">
        <f t="shared" si="0"/>
        <v>Go to Sheet</v>
      </c>
      <c r="D20" s="205"/>
    </row>
    <row r="21" spans="1:4">
      <c r="A21">
        <v>20</v>
      </c>
      <c r="B21" t="s">
        <v>757</v>
      </c>
      <c r="C21" s="199" t="str">
        <f t="shared" si="0"/>
        <v>Go to Sheet</v>
      </c>
      <c r="D21" s="205"/>
    </row>
    <row r="22" spans="1:4">
      <c r="A22">
        <v>21</v>
      </c>
      <c r="B22" t="s">
        <v>758</v>
      </c>
      <c r="C22" s="199" t="str">
        <f t="shared" si="0"/>
        <v>Go to Sheet</v>
      </c>
      <c r="D22" s="205"/>
    </row>
    <row r="23" spans="1:4">
      <c r="A23">
        <v>22</v>
      </c>
      <c r="B23" t="s">
        <v>759</v>
      </c>
      <c r="C23" s="199" t="str">
        <f t="shared" si="0"/>
        <v>Go to Sheet</v>
      </c>
      <c r="D23" s="205"/>
    </row>
    <row r="24" spans="1:4">
      <c r="A24">
        <v>23</v>
      </c>
      <c r="B24" t="s">
        <v>760</v>
      </c>
      <c r="C24" s="199" t="str">
        <f t="shared" si="0"/>
        <v>Go to Sheet</v>
      </c>
      <c r="D24" s="205"/>
    </row>
    <row r="25" spans="1:4">
      <c r="A25">
        <v>24</v>
      </c>
      <c r="B25" t="s">
        <v>761</v>
      </c>
      <c r="C25" s="199" t="str">
        <f t="shared" si="0"/>
        <v>Go to Sheet</v>
      </c>
      <c r="D25" s="205"/>
    </row>
    <row r="26" spans="1:4">
      <c r="A26">
        <v>25</v>
      </c>
      <c r="B26" t="s">
        <v>762</v>
      </c>
      <c r="C26" s="199" t="str">
        <f t="shared" si="0"/>
        <v>Go to Sheet</v>
      </c>
      <c r="D26" s="205"/>
    </row>
    <row r="27" spans="1:4">
      <c r="A27">
        <v>26</v>
      </c>
      <c r="B27" t="s">
        <v>763</v>
      </c>
      <c r="C27" s="199" t="str">
        <f t="shared" si="0"/>
        <v>Go to Sheet</v>
      </c>
      <c r="D27" s="205"/>
    </row>
    <row r="28" spans="1:4">
      <c r="A28">
        <v>27</v>
      </c>
      <c r="B28" t="s">
        <v>764</v>
      </c>
      <c r="C28" s="199" t="str">
        <f t="shared" si="0"/>
        <v>Go to Sheet</v>
      </c>
      <c r="D28" s="205"/>
    </row>
    <row r="29" spans="1:4">
      <c r="A29">
        <v>28</v>
      </c>
      <c r="B29" t="s">
        <v>765</v>
      </c>
      <c r="C29" s="199" t="str">
        <f t="shared" si="0"/>
        <v>Go to Sheet</v>
      </c>
      <c r="D29" s="205"/>
    </row>
    <row r="30" spans="1:4">
      <c r="A30">
        <v>29</v>
      </c>
      <c r="B30" t="s">
        <v>766</v>
      </c>
      <c r="C30" s="199" t="str">
        <f t="shared" si="0"/>
        <v>Go to Sheet</v>
      </c>
      <c r="D30" s="205"/>
    </row>
    <row r="31" spans="1:4">
      <c r="A31">
        <v>30</v>
      </c>
      <c r="B31" t="s">
        <v>767</v>
      </c>
      <c r="C31" s="199" t="str">
        <f t="shared" si="0"/>
        <v>Go to Sheet</v>
      </c>
      <c r="D31" s="205"/>
    </row>
    <row r="32" spans="1:4">
      <c r="A32">
        <v>31</v>
      </c>
      <c r="B32" t="s">
        <v>768</v>
      </c>
      <c r="C32" s="199" t="str">
        <f t="shared" si="0"/>
        <v>Go to Sheet</v>
      </c>
      <c r="D32" s="205"/>
    </row>
    <row r="33" spans="1:4">
      <c r="A33">
        <v>32</v>
      </c>
      <c r="B33" t="s">
        <v>769</v>
      </c>
      <c r="C33" s="199" t="str">
        <f t="shared" si="0"/>
        <v>Go to Sheet</v>
      </c>
      <c r="D33" s="205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F0"/>
    <outlinePr summaryBelow="0" summaryRight="0"/>
  </sheetPr>
  <dimension ref="A1:Z235"/>
  <sheetViews>
    <sheetView workbookViewId="0">
      <pane ySplit="8" topLeftCell="A9" activePane="bottomLeft" state="frozen"/>
      <selection activeCell="B2" sqref="B2:H2"/>
      <selection pane="bottomLeft" activeCell="F24" sqref="F24:K24"/>
    </sheetView>
  </sheetViews>
  <sheetFormatPr defaultColWidth="12.5546875" defaultRowHeight="15.75" customHeight="1"/>
  <cols>
    <col min="1" max="1" width="27.44140625" customWidth="1"/>
    <col min="2" max="2" width="21.33203125" customWidth="1"/>
    <col min="3" max="3" width="23" customWidth="1"/>
    <col min="4" max="4" width="10.44140625" customWidth="1"/>
    <col min="5" max="5" width="11.109375" customWidth="1"/>
    <col min="6" max="6" width="10" customWidth="1"/>
    <col min="7" max="7" width="9.6640625" customWidth="1"/>
    <col min="8" max="8" width="18.109375" customWidth="1"/>
    <col min="21" max="21" width="6.109375" customWidth="1"/>
  </cols>
  <sheetData>
    <row r="1" spans="1:26" s="249" customFormat="1" ht="21.6" customHeight="1">
      <c r="A1" s="249" t="s">
        <v>747</v>
      </c>
    </row>
    <row r="2" spans="1:26" ht="13.2">
      <c r="B2" s="20"/>
      <c r="P2" s="20"/>
      <c r="S2" s="20"/>
      <c r="T2" s="20"/>
    </row>
    <row r="3" spans="1:26" ht="13.2">
      <c r="B3" s="251" t="s">
        <v>2</v>
      </c>
      <c r="C3" s="251">
        <f>'Project Reductions Details'!C3</f>
        <v>2050</v>
      </c>
      <c r="E3" s="20"/>
      <c r="F3" s="20"/>
      <c r="I3" s="25"/>
      <c r="J3" s="116"/>
      <c r="P3" s="20"/>
      <c r="S3" s="20"/>
      <c r="T3" s="20"/>
    </row>
    <row r="4" spans="1:26" ht="13.2">
      <c r="B4" s="73" t="s">
        <v>554</v>
      </c>
      <c r="C4" s="145">
        <f>'Project Reductions Details'!B34</f>
        <v>0.5</v>
      </c>
      <c r="E4" s="20" t="s">
        <v>555</v>
      </c>
      <c r="F4" s="20">
        <f>'Project Reductions Details'!B38</f>
        <v>3</v>
      </c>
      <c r="J4" s="116"/>
      <c r="P4" s="20"/>
      <c r="S4" s="20"/>
      <c r="T4" s="20"/>
    </row>
    <row r="5" spans="1:26" ht="13.2">
      <c r="B5" s="73" t="s">
        <v>556</v>
      </c>
      <c r="C5" s="145">
        <f>'Project Reductions Details'!B35</f>
        <v>0</v>
      </c>
      <c r="F5" s="20"/>
      <c r="P5" s="20"/>
      <c r="S5" s="20"/>
      <c r="T5" s="20"/>
    </row>
    <row r="6" spans="1:26" ht="13.2">
      <c r="B6" s="73" t="s">
        <v>557</v>
      </c>
      <c r="C6" s="145" t="str">
        <f>'Project Reductions Details'!B36</f>
        <v>Yes</v>
      </c>
      <c r="F6" s="20"/>
      <c r="P6" s="20"/>
      <c r="S6" s="20"/>
      <c r="T6" s="20"/>
    </row>
    <row r="7" spans="1:26" ht="13.2">
      <c r="B7" s="73" t="s">
        <v>558</v>
      </c>
      <c r="C7" s="145" t="str">
        <f>'Project Reductions Details'!B37</f>
        <v>Yes</v>
      </c>
      <c r="F7" s="20"/>
      <c r="P7" s="20"/>
      <c r="S7" s="20"/>
      <c r="T7" s="20"/>
    </row>
    <row r="8" spans="1:26" ht="13.2">
      <c r="B8" s="73" t="s">
        <v>592</v>
      </c>
      <c r="C8" s="95">
        <f>IF(D8="VPP",'Project #2 - Virtual Power Plan'!I20,HLOOKUP(C3,'Emissions Factors'!$E$50:$AH$51,2,FALSE))/('res bld calcs'!P4*1000000)</f>
        <v>0.10166363459969451</v>
      </c>
      <c r="D8" s="20" t="str">
        <f>'Project Reductions Details'!B39</f>
        <v>Reference</v>
      </c>
      <c r="P8" s="20"/>
      <c r="S8" s="20"/>
      <c r="T8" s="20"/>
    </row>
    <row r="9" spans="1:26" ht="13.2">
      <c r="B9" s="20" t="s">
        <v>560</v>
      </c>
      <c r="D9" s="20" t="s">
        <v>561</v>
      </c>
      <c r="E9" s="20" t="s">
        <v>562</v>
      </c>
      <c r="H9" s="45" t="s">
        <v>563</v>
      </c>
      <c r="P9" s="20" t="s">
        <v>564</v>
      </c>
      <c r="V9" s="20" t="s">
        <v>565</v>
      </c>
    </row>
    <row r="10" spans="1:26" ht="13.2">
      <c r="A10" s="108" t="str">
        <f t="shared" ref="A10:A21" si="0">B10&amp;C10</f>
        <v>GreeneMobile Home</v>
      </c>
      <c r="B10" s="20" t="s">
        <v>5</v>
      </c>
      <c r="C10" s="20" t="s">
        <v>366</v>
      </c>
      <c r="D10" s="125">
        <v>0</v>
      </c>
      <c r="E10" s="21">
        <f ca="1">VLOOKUP(A10,'res bld data'!$A$3:$H$37,7,FALSE)</f>
        <v>817</v>
      </c>
      <c r="F10" s="124">
        <f t="shared" ref="F10:F21" ca="1" si="1">E10-D10</f>
        <v>817</v>
      </c>
      <c r="P10" s="20" t="s">
        <v>399</v>
      </c>
      <c r="S10" s="20" t="s">
        <v>400</v>
      </c>
      <c r="T10" s="20" t="s">
        <v>400</v>
      </c>
      <c r="V10" s="20" t="s">
        <v>399</v>
      </c>
      <c r="Y10" s="20" t="s">
        <v>400</v>
      </c>
      <c r="Z10" s="20" t="s">
        <v>400</v>
      </c>
    </row>
    <row r="11" spans="1:26" ht="13.2">
      <c r="A11" s="108" t="str">
        <f t="shared" si="0"/>
        <v>GreeneMulti-Family Apartment</v>
      </c>
      <c r="B11" s="20" t="s">
        <v>5</v>
      </c>
      <c r="C11" s="20" t="s">
        <v>371</v>
      </c>
      <c r="D11" s="125">
        <v>0</v>
      </c>
      <c r="E11" s="21">
        <f ca="1">VLOOKUP(A11,'res bld data'!$A$3:$H$37,7,FALSE)</f>
        <v>14755</v>
      </c>
      <c r="F11" s="124">
        <f t="shared" ca="1" si="1"/>
        <v>14755</v>
      </c>
      <c r="H11" s="20">
        <f t="array" ref="H11:K12">'res bld calcs'!K6:N7</f>
        <v>0</v>
      </c>
      <c r="I11" s="146" t="str">
        <v>Electricity</v>
      </c>
      <c r="J11" s="146" t="str">
        <v>Natural Gas</v>
      </c>
      <c r="K11" s="147" t="str">
        <v>Total</v>
      </c>
      <c r="M11" s="20" t="s">
        <v>27</v>
      </c>
      <c r="N11" s="20" t="s">
        <v>403</v>
      </c>
      <c r="O11" s="20" t="s">
        <v>404</v>
      </c>
      <c r="P11" s="20" t="s">
        <v>283</v>
      </c>
      <c r="Q11" s="20" t="s">
        <v>363</v>
      </c>
      <c r="R11" s="20" t="s">
        <v>405</v>
      </c>
      <c r="S11" s="20" t="s">
        <v>0</v>
      </c>
      <c r="T11" s="20" t="s">
        <v>14</v>
      </c>
      <c r="V11" s="20" t="s">
        <v>283</v>
      </c>
      <c r="W11" s="20" t="s">
        <v>363</v>
      </c>
      <c r="X11" s="20" t="s">
        <v>405</v>
      </c>
      <c r="Y11" s="20" t="s">
        <v>0</v>
      </c>
      <c r="Z11" s="20" t="s">
        <v>14</v>
      </c>
    </row>
    <row r="12" spans="1:26" ht="13.2">
      <c r="A12" s="108" t="str">
        <f t="shared" si="0"/>
        <v>GreeneAttached Condo Building</v>
      </c>
      <c r="B12" s="20" t="s">
        <v>5</v>
      </c>
      <c r="C12" s="20" t="s">
        <v>373</v>
      </c>
      <c r="D12" s="125">
        <v>0</v>
      </c>
      <c r="E12" s="21">
        <f ca="1">VLOOKUP(A12,'res bld data'!$A$3:$H$37,7,FALSE)</f>
        <v>3856</v>
      </c>
      <c r="F12" s="124">
        <f t="shared" ca="1" si="1"/>
        <v>3856</v>
      </c>
      <c r="H12" s="148" t="str">
        <v>Energy Use (MMBTU)</v>
      </c>
      <c r="I12" s="149">
        <v>13550438.80973856</v>
      </c>
      <c r="J12" s="149">
        <v>17526182.487</v>
      </c>
      <c r="K12" s="150">
        <v>31076621.296738558</v>
      </c>
      <c r="M12" s="20" t="s">
        <v>5</v>
      </c>
      <c r="N12" s="20" t="s">
        <v>366</v>
      </c>
      <c r="O12" s="20" t="s">
        <v>369</v>
      </c>
      <c r="P12" s="46">
        <f t="shared" ref="P12:Q12" ca="1" si="2">(1-$C$5)*V12</f>
        <v>2.8675391078366421</v>
      </c>
      <c r="Q12" s="46">
        <f t="shared" ca="1" si="2"/>
        <v>0</v>
      </c>
      <c r="R12" s="21">
        <f t="shared" ref="R12:R95" si="3">VLOOKUP(M12&amp;N12,$A$10:$D$36,4,FALSE)</f>
        <v>0</v>
      </c>
      <c r="S12" s="128">
        <f t="shared" ref="S12:T12" ca="1" si="4">$R12*P12</f>
        <v>0</v>
      </c>
      <c r="T12" s="128">
        <f t="shared" ca="1" si="4"/>
        <v>0</v>
      </c>
      <c r="V12" s="75">
        <f t="array" ref="V12:W235" ca="1">'res bld calcs'!E3:F226</f>
        <v>2.8675391078366421</v>
      </c>
      <c r="W12" s="75">
        <f ca="1"/>
        <v>0</v>
      </c>
      <c r="X12" s="21">
        <f ca="1">'res bld calcs'!G3-R12</f>
        <v>817</v>
      </c>
      <c r="Y12" s="128">
        <f t="shared" ref="Y12:Z12" ca="1" si="5">$X12*V12</f>
        <v>2342.7794511025368</v>
      </c>
      <c r="Z12" s="128">
        <f t="shared" ca="1" si="5"/>
        <v>0</v>
      </c>
    </row>
    <row r="13" spans="1:26" ht="13.2">
      <c r="A13" s="108" t="str">
        <f t="shared" si="0"/>
        <v>GreeneSingle-Family Housing</v>
      </c>
      <c r="B13" s="20" t="s">
        <v>5</v>
      </c>
      <c r="C13" s="20" t="s">
        <v>370</v>
      </c>
      <c r="D13" s="125">
        <v>0</v>
      </c>
      <c r="E13" s="21">
        <f ca="1">VLOOKUP(A13,'res bld data'!$A$3:$H$37,7,FALSE)</f>
        <v>51557</v>
      </c>
      <c r="F13" s="124">
        <f t="shared" ca="1" si="1"/>
        <v>51557</v>
      </c>
      <c r="H13" s="151" t="s">
        <v>409</v>
      </c>
      <c r="I13" s="152">
        <f>I12*C8</f>
        <v>1377586.8598187803</v>
      </c>
      <c r="J13" s="152">
        <f>J12*'Emissions Factors'!E52</f>
        <v>930259.97189973202</v>
      </c>
      <c r="K13" s="153">
        <f>SUM(I13:J13)</f>
        <v>2307846.8317185123</v>
      </c>
      <c r="M13" s="20" t="s">
        <v>5</v>
      </c>
      <c r="N13" s="20" t="s">
        <v>366</v>
      </c>
      <c r="O13" s="20" t="s">
        <v>372</v>
      </c>
      <c r="P13" s="46">
        <f t="shared" ref="P13:Q13" ca="1" si="6">(1-$C$5)*V13</f>
        <v>7.2435165235256127</v>
      </c>
      <c r="Q13" s="46">
        <f t="shared" ca="1" si="6"/>
        <v>0.77044639659470038</v>
      </c>
      <c r="R13" s="21">
        <f t="shared" si="3"/>
        <v>0</v>
      </c>
      <c r="S13" s="128">
        <f t="shared" ref="S13:T13" ca="1" si="7">$R13*P13</f>
        <v>0</v>
      </c>
      <c r="T13" s="128">
        <f t="shared" ca="1" si="7"/>
        <v>0</v>
      </c>
      <c r="V13" s="75">
        <f ca="1"/>
        <v>7.2435165235256127</v>
      </c>
      <c r="W13" s="75">
        <f ca="1"/>
        <v>0.77044639659470038</v>
      </c>
      <c r="X13" s="21">
        <f ca="1">'res bld calcs'!G4-R13</f>
        <v>817</v>
      </c>
      <c r="Y13" s="128">
        <f t="shared" ref="Y13:Z13" ca="1" si="8">$X13*V13</f>
        <v>5917.9529997204254</v>
      </c>
      <c r="Z13" s="128">
        <f t="shared" ca="1" si="8"/>
        <v>629.45470601787019</v>
      </c>
    </row>
    <row r="14" spans="1:26" ht="13.2">
      <c r="A14" s="108" t="str">
        <f t="shared" si="0"/>
        <v>MiamiMobile Home</v>
      </c>
      <c r="B14" s="20" t="s">
        <v>9</v>
      </c>
      <c r="C14" s="20" t="s">
        <v>366</v>
      </c>
      <c r="D14" s="125">
        <v>0</v>
      </c>
      <c r="E14" s="21">
        <f ca="1">VLOOKUP(A14,'res bld data'!$A$3:$H$37,7,FALSE)</f>
        <v>793</v>
      </c>
      <c r="F14" s="124">
        <f t="shared" ca="1" si="1"/>
        <v>793</v>
      </c>
      <c r="I14" s="21"/>
      <c r="M14" s="20" t="s">
        <v>5</v>
      </c>
      <c r="N14" s="20" t="s">
        <v>366</v>
      </c>
      <c r="O14" s="20" t="s">
        <v>374</v>
      </c>
      <c r="P14" s="46">
        <f t="shared" ref="P14:Q14" ca="1" si="9">(1-$C$5)*V14</f>
        <v>9.7225055436893069</v>
      </c>
      <c r="Q14" s="46">
        <f t="shared" ca="1" si="9"/>
        <v>0</v>
      </c>
      <c r="R14" s="21">
        <f t="shared" si="3"/>
        <v>0</v>
      </c>
      <c r="S14" s="128">
        <f t="shared" ref="S14:T14" ca="1" si="10">$R14*P14</f>
        <v>0</v>
      </c>
      <c r="T14" s="128">
        <f t="shared" ca="1" si="10"/>
        <v>0</v>
      </c>
      <c r="V14" s="75">
        <f ca="1"/>
        <v>9.7225055436893069</v>
      </c>
      <c r="W14" s="75">
        <f ca="1"/>
        <v>0</v>
      </c>
      <c r="X14" s="21">
        <f ca="1">'res bld calcs'!G5-R14</f>
        <v>817</v>
      </c>
      <c r="Y14" s="128">
        <f t="shared" ref="Y14:Z14" ca="1" si="11">$X14*V14</f>
        <v>7943.2870291941636</v>
      </c>
      <c r="Z14" s="128">
        <f t="shared" ca="1" si="11"/>
        <v>0</v>
      </c>
    </row>
    <row r="15" spans="1:26" ht="13.2">
      <c r="A15" s="108" t="str">
        <f t="shared" si="0"/>
        <v>MiamiMulti-Family Apartment</v>
      </c>
      <c r="B15" s="20" t="s">
        <v>9</v>
      </c>
      <c r="C15" s="20" t="s">
        <v>371</v>
      </c>
      <c r="D15" s="125">
        <v>0</v>
      </c>
      <c r="E15" s="21">
        <f ca="1">VLOOKUP(A15,'res bld data'!$A$3:$H$37,7,FALSE)</f>
        <v>7051</v>
      </c>
      <c r="F15" s="124">
        <f t="shared" ca="1" si="1"/>
        <v>7051</v>
      </c>
      <c r="H15" s="45" t="s">
        <v>522</v>
      </c>
      <c r="M15" s="20" t="s">
        <v>5</v>
      </c>
      <c r="N15" s="20" t="s">
        <v>366</v>
      </c>
      <c r="O15" s="20" t="s">
        <v>375</v>
      </c>
      <c r="P15" s="46">
        <f t="shared" ref="P15:Q15" ca="1" si="12">(1-$C$5)*V15</f>
        <v>7.3714731247348739</v>
      </c>
      <c r="Q15" s="46">
        <f t="shared" ca="1" si="12"/>
        <v>0</v>
      </c>
      <c r="R15" s="21">
        <f t="shared" si="3"/>
        <v>0</v>
      </c>
      <c r="S15" s="128">
        <f t="shared" ref="S15:T15" ca="1" si="13">$R15*P15</f>
        <v>0</v>
      </c>
      <c r="T15" s="128">
        <f t="shared" ca="1" si="13"/>
        <v>0</v>
      </c>
      <c r="V15" s="75">
        <f ca="1"/>
        <v>7.3714731247348739</v>
      </c>
      <c r="W15" s="75">
        <f ca="1"/>
        <v>0</v>
      </c>
      <c r="X15" s="21">
        <f ca="1">'res bld calcs'!G6-R15</f>
        <v>817</v>
      </c>
      <c r="Y15" s="128">
        <f t="shared" ref="Y15:Z15" ca="1" si="14">$X15*V15</f>
        <v>6022.4935429083916</v>
      </c>
      <c r="Z15" s="128">
        <f t="shared" ca="1" si="14"/>
        <v>0</v>
      </c>
    </row>
    <row r="16" spans="1:26" ht="13.2">
      <c r="A16" s="108" t="str">
        <f t="shared" si="0"/>
        <v>MiamiAttached Condo Building</v>
      </c>
      <c r="B16" s="20" t="s">
        <v>9</v>
      </c>
      <c r="C16" s="20" t="s">
        <v>373</v>
      </c>
      <c r="D16" s="125">
        <v>0</v>
      </c>
      <c r="E16" s="21">
        <f ca="1">VLOOKUP(A16,'res bld data'!$A$3:$H$37,7,FALSE)</f>
        <v>1763</v>
      </c>
      <c r="F16" s="124">
        <f t="shared" ca="1" si="1"/>
        <v>1763</v>
      </c>
      <c r="I16" s="146" t="s">
        <v>0</v>
      </c>
      <c r="J16" s="146" t="s">
        <v>14</v>
      </c>
      <c r="K16" s="147" t="s">
        <v>32</v>
      </c>
      <c r="M16" s="20" t="s">
        <v>5</v>
      </c>
      <c r="N16" s="20" t="s">
        <v>366</v>
      </c>
      <c r="O16" s="20" t="s">
        <v>376</v>
      </c>
      <c r="P16" s="46">
        <f t="shared" ref="P16:Q16" ca="1" si="15">(1-$C$5)*V16</f>
        <v>11.67194231498674</v>
      </c>
      <c r="Q16" s="46">
        <f t="shared" ca="1" si="15"/>
        <v>0</v>
      </c>
      <c r="R16" s="21">
        <f t="shared" si="3"/>
        <v>0</v>
      </c>
      <c r="S16" s="128">
        <f t="shared" ref="S16:T16" ca="1" si="16">$R16*P16</f>
        <v>0</v>
      </c>
      <c r="T16" s="128">
        <f t="shared" ca="1" si="16"/>
        <v>0</v>
      </c>
      <c r="V16" s="75">
        <f ca="1"/>
        <v>11.67194231498674</v>
      </c>
      <c r="W16" s="75">
        <f ca="1"/>
        <v>0</v>
      </c>
      <c r="X16" s="21">
        <f ca="1">'res bld calcs'!G7-R16</f>
        <v>817</v>
      </c>
      <c r="Y16" s="128">
        <f t="shared" ref="Y16:Z16" ca="1" si="17">$X16*V16</f>
        <v>9535.9768713441663</v>
      </c>
      <c r="Z16" s="128">
        <f t="shared" ca="1" si="17"/>
        <v>0</v>
      </c>
    </row>
    <row r="17" spans="1:26" ht="13.2">
      <c r="A17" s="108" t="str">
        <f t="shared" si="0"/>
        <v>MiamiSingle-Family Housing</v>
      </c>
      <c r="B17" s="20" t="s">
        <v>9</v>
      </c>
      <c r="C17" s="20" t="s">
        <v>370</v>
      </c>
      <c r="D17" s="125">
        <v>0</v>
      </c>
      <c r="E17" s="21">
        <f ca="1">VLOOKUP(A17,'res bld data'!$A$3:$H$37,7,FALSE)</f>
        <v>36903</v>
      </c>
      <c r="F17" s="124">
        <f t="shared" ca="1" si="1"/>
        <v>36903</v>
      </c>
      <c r="H17" s="148" t="s">
        <v>407</v>
      </c>
      <c r="I17" s="149">
        <f t="shared" ref="I17:J17" ca="1" si="18">SUM(S12:S235)+SUM(Y12:Y235)</f>
        <v>13553196.506877512</v>
      </c>
      <c r="J17" s="149">
        <f t="shared" ca="1" si="18"/>
        <v>17511384.432342645</v>
      </c>
      <c r="K17" s="150">
        <f ca="1">I17+J17</f>
        <v>31064580.939220157</v>
      </c>
      <c r="M17" s="20" t="s">
        <v>5</v>
      </c>
      <c r="N17" s="20" t="s">
        <v>366</v>
      </c>
      <c r="O17" s="20" t="s">
        <v>377</v>
      </c>
      <c r="P17" s="46">
        <f ca="1">IF($C$6="Yes",((1-$C$4)*W17/$F$4)+V17,(1-$C$4)*V17)</f>
        <v>6.964484844791599</v>
      </c>
      <c r="Q17" s="46">
        <f>IF($C$6="Yes",0,(1-$C$4)*W17)</f>
        <v>0</v>
      </c>
      <c r="R17" s="21">
        <f t="shared" si="3"/>
        <v>0</v>
      </c>
      <c r="S17" s="128">
        <f t="shared" ref="S17:T17" ca="1" si="19">$R17*P17</f>
        <v>0</v>
      </c>
      <c r="T17" s="128">
        <f t="shared" si="19"/>
        <v>0</v>
      </c>
      <c r="V17" s="75">
        <f ca="1"/>
        <v>0.85760840706072683</v>
      </c>
      <c r="W17" s="75">
        <f ca="1"/>
        <v>36.64125862638523</v>
      </c>
      <c r="X17" s="21">
        <f ca="1">'res bld calcs'!G8-R17</f>
        <v>817</v>
      </c>
      <c r="Y17" s="128">
        <f t="shared" ref="Y17:Z17" ca="1" si="20">$X17*V17</f>
        <v>700.66606856861381</v>
      </c>
      <c r="Z17" s="128">
        <f t="shared" ca="1" si="20"/>
        <v>29935.908297756734</v>
      </c>
    </row>
    <row r="18" spans="1:26" ht="13.2">
      <c r="A18" s="108" t="str">
        <f t="shared" si="0"/>
        <v>MontgomeryMobile Home</v>
      </c>
      <c r="B18" s="20" t="s">
        <v>10</v>
      </c>
      <c r="C18" s="20" t="s">
        <v>366</v>
      </c>
      <c r="D18" s="125">
        <v>0</v>
      </c>
      <c r="E18" s="21">
        <f ca="1">VLOOKUP(A18,'res bld data'!$A$3:$H$37,7,FALSE)</f>
        <v>3530</v>
      </c>
      <c r="F18" s="124">
        <f t="shared" ca="1" si="1"/>
        <v>3530</v>
      </c>
      <c r="H18" s="40" t="s">
        <v>598</v>
      </c>
      <c r="I18" s="21">
        <f ca="1">0.7*SUM(S12:S96)</f>
        <v>9353.9817678272684</v>
      </c>
      <c r="J18" s="21"/>
      <c r="K18" s="162"/>
      <c r="M18" s="20" t="s">
        <v>5</v>
      </c>
      <c r="N18" s="20" t="s">
        <v>366</v>
      </c>
      <c r="O18" s="20" t="s">
        <v>378</v>
      </c>
      <c r="P18" s="46">
        <f ca="1">IF($C$7="Yes",((1-$C$5)*W18/$F$4)+V18,(1-$C$5)*V18)</f>
        <v>1.6950206332031128</v>
      </c>
      <c r="Q18" s="46">
        <f>IF($C$7="Yes",0,(1-$C$5)*W18)</f>
        <v>0</v>
      </c>
      <c r="R18" s="21">
        <f t="shared" si="3"/>
        <v>0</v>
      </c>
      <c r="S18" s="128">
        <f t="shared" ref="S18:T18" ca="1" si="21">$R18*P18</f>
        <v>0</v>
      </c>
      <c r="T18" s="128">
        <f t="shared" si="21"/>
        <v>0</v>
      </c>
      <c r="V18" s="75">
        <f ca="1"/>
        <v>0</v>
      </c>
      <c r="W18" s="75">
        <f ca="1"/>
        <v>5.0850618996093386</v>
      </c>
      <c r="X18" s="21">
        <f ca="1">'res bld calcs'!G9-R18</f>
        <v>817</v>
      </c>
      <c r="Y18" s="128">
        <f t="shared" ref="Y18:Z18" ca="1" si="22">$X18*V18</f>
        <v>0</v>
      </c>
      <c r="Z18" s="128">
        <f t="shared" ca="1" si="22"/>
        <v>4154.4955719808295</v>
      </c>
    </row>
    <row r="19" spans="1:26" ht="13.2">
      <c r="A19" s="108" t="str">
        <f t="shared" si="0"/>
        <v>MontgomeryMulti-Family Apartment</v>
      </c>
      <c r="B19" s="20" t="s">
        <v>10</v>
      </c>
      <c r="C19" s="20" t="s">
        <v>371</v>
      </c>
      <c r="D19" s="125">
        <v>0</v>
      </c>
      <c r="E19" s="21">
        <f ca="1">VLOOKUP(A19,'res bld data'!$A$3:$H$37,7,FALSE)</f>
        <v>60947</v>
      </c>
      <c r="F19" s="124">
        <f t="shared" ca="1" si="1"/>
        <v>60947</v>
      </c>
      <c r="H19" s="151" t="s">
        <v>409</v>
      </c>
      <c r="I19" s="152">
        <f ca="1">I17*$C$8</f>
        <v>1377867.2173330514</v>
      </c>
      <c r="J19" s="152">
        <f ca="1">J17*'res bld calcs'!$P$12</f>
        <v>929474.51631521247</v>
      </c>
      <c r="K19" s="153">
        <f ca="1">I19+J19</f>
        <v>2307341.7336482638</v>
      </c>
      <c r="M19" s="20" t="s">
        <v>5</v>
      </c>
      <c r="N19" s="20" t="s">
        <v>371</v>
      </c>
      <c r="O19" s="20" t="s">
        <v>369</v>
      </c>
      <c r="P19" s="46">
        <f t="shared" ref="P19:Q19" ca="1" si="23">(1-$C$5)*V19</f>
        <v>3.9206774734109961</v>
      </c>
      <c r="Q19" s="46">
        <f t="shared" ca="1" si="23"/>
        <v>0</v>
      </c>
      <c r="R19" s="21">
        <f t="shared" si="3"/>
        <v>0</v>
      </c>
      <c r="S19" s="128">
        <f t="shared" ref="S19:T19" ca="1" si="24">$R19*P19</f>
        <v>0</v>
      </c>
      <c r="T19" s="128">
        <f t="shared" ca="1" si="24"/>
        <v>0</v>
      </c>
      <c r="V19" s="75">
        <f ca="1"/>
        <v>3.9206774734109961</v>
      </c>
      <c r="W19" s="75">
        <f ca="1"/>
        <v>0</v>
      </c>
      <c r="X19" s="21">
        <f ca="1">'res bld calcs'!G10-R19</f>
        <v>14755</v>
      </c>
      <c r="Y19" s="128">
        <f t="shared" ref="Y19:Z19" ca="1" si="25">$X19*V19</f>
        <v>57849.596120179245</v>
      </c>
      <c r="Z19" s="128">
        <f t="shared" ca="1" si="25"/>
        <v>0</v>
      </c>
    </row>
    <row r="20" spans="1:26" ht="13.2">
      <c r="A20" s="108" t="str">
        <f t="shared" si="0"/>
        <v>MontgomeryAttached Condo Building</v>
      </c>
      <c r="B20" s="20" t="s">
        <v>10</v>
      </c>
      <c r="C20" s="20" t="s">
        <v>373</v>
      </c>
      <c r="D20" s="125">
        <v>0</v>
      </c>
      <c r="E20" s="21">
        <f ca="1">VLOOKUP(A20,'res bld data'!$A$3:$H$37,7,FALSE)</f>
        <v>16893</v>
      </c>
      <c r="F20" s="124">
        <f t="shared" ca="1" si="1"/>
        <v>16893</v>
      </c>
      <c r="M20" s="20" t="s">
        <v>5</v>
      </c>
      <c r="N20" s="20" t="s">
        <v>371</v>
      </c>
      <c r="O20" s="20" t="s">
        <v>372</v>
      </c>
      <c r="P20" s="46">
        <f t="shared" ref="P20:Q20" ca="1" si="26">(1-$C$5)*V20</f>
        <v>4.8994658738373298</v>
      </c>
      <c r="Q20" s="46">
        <f t="shared" ca="1" si="26"/>
        <v>0.95341831204924066</v>
      </c>
      <c r="R20" s="21">
        <f t="shared" si="3"/>
        <v>0</v>
      </c>
      <c r="S20" s="128">
        <f t="shared" ref="S20:T20" ca="1" si="27">$R20*P20</f>
        <v>0</v>
      </c>
      <c r="T20" s="128">
        <f t="shared" ca="1" si="27"/>
        <v>0</v>
      </c>
      <c r="V20" s="75">
        <f ca="1"/>
        <v>4.8994658738373298</v>
      </c>
      <c r="W20" s="75">
        <f ca="1"/>
        <v>0.95341831204924066</v>
      </c>
      <c r="X20" s="21">
        <f ca="1">'res bld calcs'!G11-R20</f>
        <v>14755</v>
      </c>
      <c r="Y20" s="128">
        <f t="shared" ref="Y20:Z20" ca="1" si="28">$X20*V20</f>
        <v>72291.618968469804</v>
      </c>
      <c r="Z20" s="128">
        <f t="shared" ca="1" si="28"/>
        <v>14067.687194286545</v>
      </c>
    </row>
    <row r="21" spans="1:26" ht="13.2">
      <c r="A21" s="108" t="str">
        <f t="shared" si="0"/>
        <v>MontgomerySingle-Family Housing</v>
      </c>
      <c r="B21" s="20" t="s">
        <v>10</v>
      </c>
      <c r="C21" s="20" t="s">
        <v>370</v>
      </c>
      <c r="D21" s="21">
        <f>IF(C3=2027,10,IF(C3=2028,50,IF(C3=2029,100,IF(C3&gt;=2030,300,0))))</f>
        <v>300</v>
      </c>
      <c r="E21" s="21">
        <f ca="1">VLOOKUP(A21,'res bld data'!$A$3:$H$37,7,FALSE)</f>
        <v>170526</v>
      </c>
      <c r="F21" s="124">
        <f t="shared" ca="1" si="1"/>
        <v>170226</v>
      </c>
      <c r="H21" s="73" t="s">
        <v>599</v>
      </c>
      <c r="I21" s="119">
        <f>'Rooftop Solar'!D11</f>
        <v>0.12927838270304023</v>
      </c>
      <c r="M21" s="20" t="s">
        <v>5</v>
      </c>
      <c r="N21" s="20" t="s">
        <v>371</v>
      </c>
      <c r="O21" s="20" t="s">
        <v>374</v>
      </c>
      <c r="P21" s="46">
        <f t="shared" ref="P21:Q21" ca="1" si="29">(1-$C$5)*V21</f>
        <v>6.6316514176372108</v>
      </c>
      <c r="Q21" s="46">
        <f t="shared" ca="1" si="29"/>
        <v>0</v>
      </c>
      <c r="R21" s="21">
        <f t="shared" si="3"/>
        <v>0</v>
      </c>
      <c r="S21" s="128">
        <f t="shared" ref="S21:T21" ca="1" si="30">$R21*P21</f>
        <v>0</v>
      </c>
      <c r="T21" s="128">
        <f t="shared" ca="1" si="30"/>
        <v>0</v>
      </c>
      <c r="V21" s="75">
        <f ca="1"/>
        <v>6.6316514176372108</v>
      </c>
      <c r="W21" s="75">
        <f ca="1"/>
        <v>0</v>
      </c>
      <c r="X21" s="21">
        <f ca="1">'res bld calcs'!G12-R21</f>
        <v>14755</v>
      </c>
      <c r="Y21" s="128">
        <f t="shared" ref="Y21:Z21" ca="1" si="31">$X21*V21</f>
        <v>97850.01666723704</v>
      </c>
      <c r="Z21" s="128">
        <f t="shared" ca="1" si="31"/>
        <v>0</v>
      </c>
    </row>
    <row r="22" spans="1:26" ht="13.2">
      <c r="A22" s="108"/>
      <c r="D22" s="21"/>
      <c r="E22" s="21"/>
      <c r="F22" s="108"/>
      <c r="H22" s="73" t="s">
        <v>600</v>
      </c>
      <c r="I22" s="75">
        <f ca="1">I18/'res bld calcs'!P4/1000/(8760*I21)</f>
        <v>2.4207920255608184</v>
      </c>
      <c r="M22" s="20" t="s">
        <v>5</v>
      </c>
      <c r="N22" s="20" t="s">
        <v>371</v>
      </c>
      <c r="O22" s="20" t="s">
        <v>375</v>
      </c>
      <c r="P22" s="46">
        <f t="shared" ref="P22:Q22" ca="1" si="32">(1-$C$5)*V22</f>
        <v>1.9994101790913115</v>
      </c>
      <c r="Q22" s="46">
        <f t="shared" ca="1" si="32"/>
        <v>0</v>
      </c>
      <c r="R22" s="21">
        <f t="shared" si="3"/>
        <v>0</v>
      </c>
      <c r="S22" s="128">
        <f t="shared" ref="S22:T22" ca="1" si="33">$R22*P22</f>
        <v>0</v>
      </c>
      <c r="T22" s="128">
        <f t="shared" ca="1" si="33"/>
        <v>0</v>
      </c>
      <c r="V22" s="75">
        <f ca="1"/>
        <v>1.9994101790913115</v>
      </c>
      <c r="W22" s="75">
        <f ca="1"/>
        <v>0</v>
      </c>
      <c r="X22" s="21">
        <f ca="1">'res bld calcs'!G13-R22</f>
        <v>14755</v>
      </c>
      <c r="Y22" s="128">
        <f t="shared" ref="Y22:Z22" ca="1" si="34">$X22*V22</f>
        <v>29501.2971924923</v>
      </c>
      <c r="Z22" s="128">
        <f t="shared" ca="1" si="34"/>
        <v>0</v>
      </c>
    </row>
    <row r="23" spans="1:26" ht="13.2">
      <c r="A23" s="108"/>
      <c r="D23" s="21"/>
      <c r="E23" s="22"/>
      <c r="F23" s="108"/>
      <c r="M23" s="20" t="s">
        <v>5</v>
      </c>
      <c r="N23" s="20" t="s">
        <v>371</v>
      </c>
      <c r="O23" s="20" t="s">
        <v>376</v>
      </c>
      <c r="P23" s="46">
        <f t="shared" ref="P23:Q23" ca="1" si="35">(1-$C$5)*V23</f>
        <v>3.4985708743875059</v>
      </c>
      <c r="Q23" s="46">
        <f t="shared" ca="1" si="35"/>
        <v>0</v>
      </c>
      <c r="R23" s="21">
        <f t="shared" si="3"/>
        <v>0</v>
      </c>
      <c r="S23" s="128">
        <f t="shared" ref="S23:T23" ca="1" si="36">$R23*P23</f>
        <v>0</v>
      </c>
      <c r="T23" s="128">
        <f t="shared" ca="1" si="36"/>
        <v>0</v>
      </c>
      <c r="V23" s="75">
        <f ca="1"/>
        <v>3.4985708743875059</v>
      </c>
      <c r="W23" s="75">
        <f ca="1"/>
        <v>0</v>
      </c>
      <c r="X23" s="21">
        <f ca="1">'res bld calcs'!G14-R23</f>
        <v>14755</v>
      </c>
      <c r="Y23" s="128">
        <f t="shared" ref="Y23:Z23" ca="1" si="37">$X23*V23</f>
        <v>51621.413251587648</v>
      </c>
      <c r="Z23" s="128">
        <f t="shared" ca="1" si="37"/>
        <v>0</v>
      </c>
    </row>
    <row r="24" spans="1:26" ht="13.2">
      <c r="A24" s="108"/>
      <c r="D24" s="21"/>
      <c r="E24" s="21"/>
      <c r="F24" s="256"/>
      <c r="G24" s="233"/>
      <c r="H24" s="253" t="s">
        <v>567</v>
      </c>
      <c r="I24" s="254">
        <f t="shared" ref="I24:K24" ca="1" si="38">I13-I19</f>
        <v>-280.35751427104697</v>
      </c>
      <c r="J24" s="254">
        <f t="shared" ca="1" si="38"/>
        <v>785.45558451954275</v>
      </c>
      <c r="K24" s="254">
        <f t="shared" ca="1" si="38"/>
        <v>505.09807024849579</v>
      </c>
      <c r="M24" s="20" t="s">
        <v>5</v>
      </c>
      <c r="N24" s="20" t="s">
        <v>371</v>
      </c>
      <c r="O24" s="20" t="s">
        <v>377</v>
      </c>
      <c r="P24" s="46">
        <f ca="1">IF($C$6="Yes",((1-$C$4)*W24/$F$4)+V24,(1-$C$4)*V24)</f>
        <v>19.32990446563381</v>
      </c>
      <c r="Q24" s="46">
        <f>IF($C$6="Yes",0,(1-$C$4)*W24)</f>
        <v>0</v>
      </c>
      <c r="R24" s="21">
        <f t="shared" si="3"/>
        <v>0</v>
      </c>
      <c r="S24" s="128">
        <f t="shared" ref="S24:T24" ca="1" si="39">$R24*P24</f>
        <v>0</v>
      </c>
      <c r="T24" s="128">
        <f t="shared" si="39"/>
        <v>0</v>
      </c>
      <c r="V24" s="75">
        <f ca="1"/>
        <v>14.571194585949526</v>
      </c>
      <c r="W24" s="75">
        <f ca="1"/>
        <v>28.552259278105694</v>
      </c>
      <c r="X24" s="21">
        <f ca="1">'res bld calcs'!G15-R24</f>
        <v>14755</v>
      </c>
      <c r="Y24" s="128">
        <f t="shared" ref="Y24:Z24" ca="1" si="40">$X24*V24</f>
        <v>214997.97611568525</v>
      </c>
      <c r="Z24" s="128">
        <f t="shared" ca="1" si="40"/>
        <v>421288.58564844955</v>
      </c>
    </row>
    <row r="25" spans="1:26" ht="13.2">
      <c r="A25" s="108"/>
      <c r="D25" s="21"/>
      <c r="E25" s="21"/>
      <c r="F25" s="108"/>
      <c r="J25" s="45" t="s">
        <v>568</v>
      </c>
      <c r="K25" s="155">
        <f ca="1">(K13-K19)/K13</f>
        <v>2.1886117540667989E-4</v>
      </c>
      <c r="M25" s="20" t="s">
        <v>5</v>
      </c>
      <c r="N25" s="20" t="s">
        <v>371</v>
      </c>
      <c r="O25" s="20" t="s">
        <v>378</v>
      </c>
      <c r="P25" s="46">
        <f ca="1">IF($C$7="Yes",((1-$C$5)*W25/$F$4)+V25,(1-$C$5)*V25)</f>
        <v>8.5439777283314768</v>
      </c>
      <c r="Q25" s="46">
        <f>IF($C$7="Yes",0,(1-$C$5)*W25)</f>
        <v>0</v>
      </c>
      <c r="R25" s="21">
        <f t="shared" si="3"/>
        <v>0</v>
      </c>
      <c r="S25" s="128">
        <f t="shared" ref="S25:T25" ca="1" si="41">$R25*P25</f>
        <v>0</v>
      </c>
      <c r="T25" s="128">
        <f t="shared" si="41"/>
        <v>0</v>
      </c>
      <c r="V25" s="75">
        <f ca="1"/>
        <v>4.2136146175200286</v>
      </c>
      <c r="W25" s="75">
        <f ca="1"/>
        <v>12.991089332434342</v>
      </c>
      <c r="X25" s="21">
        <f ca="1">'res bld calcs'!G16-R25</f>
        <v>14755</v>
      </c>
      <c r="Y25" s="128">
        <f t="shared" ref="Y25:Z25" ca="1" si="42">$X25*V25</f>
        <v>62171.883681508021</v>
      </c>
      <c r="Z25" s="128">
        <f t="shared" ca="1" si="42"/>
        <v>191683.52310006871</v>
      </c>
    </row>
    <row r="26" spans="1:26" ht="13.2">
      <c r="A26" s="108"/>
      <c r="D26" s="21"/>
      <c r="E26" s="21"/>
      <c r="F26" s="108"/>
      <c r="H26" s="45" t="s">
        <v>569</v>
      </c>
      <c r="I26" s="154"/>
      <c r="M26" s="20" t="s">
        <v>5</v>
      </c>
      <c r="N26" s="20" t="s">
        <v>373</v>
      </c>
      <c r="O26" s="20" t="s">
        <v>369</v>
      </c>
      <c r="P26" s="46">
        <f t="shared" ref="P26:Q26" ca="1" si="43">(1-$C$5)*V26</f>
        <v>7.358208332526317</v>
      </c>
      <c r="Q26" s="46">
        <f t="shared" ca="1" si="43"/>
        <v>0</v>
      </c>
      <c r="R26" s="21">
        <f t="shared" si="3"/>
        <v>0</v>
      </c>
      <c r="S26" s="128">
        <f t="shared" ref="S26:T26" ca="1" si="44">$R26*P26</f>
        <v>0</v>
      </c>
      <c r="T26" s="128">
        <f t="shared" ca="1" si="44"/>
        <v>0</v>
      </c>
      <c r="V26" s="75">
        <f ca="1"/>
        <v>7.358208332526317</v>
      </c>
      <c r="W26" s="75">
        <f ca="1"/>
        <v>0</v>
      </c>
      <c r="X26" s="21">
        <f ca="1">'res bld calcs'!G17-R26</f>
        <v>3856</v>
      </c>
      <c r="Y26" s="128">
        <f t="shared" ref="Y26:Z26" ca="1" si="45">$X26*V26</f>
        <v>28373.251330221479</v>
      </c>
      <c r="Z26" s="128">
        <f t="shared" ca="1" si="45"/>
        <v>0</v>
      </c>
    </row>
    <row r="27" spans="1:26" ht="13.2">
      <c r="A27" s="108"/>
      <c r="D27" s="21"/>
      <c r="E27" s="21"/>
      <c r="F27" s="108"/>
      <c r="H27" s="20" t="str">
        <f ca="1">IFERROR(__xludf.DUMMYFUNCTION("unique(B10:B21)"),"Greene")</f>
        <v>Greene</v>
      </c>
      <c r="I27" s="154">
        <f t="shared" ref="I27:I29" ca="1" si="46">SUMIF($B$10:$B$21,"="&amp;H27,$D$10:$D$21)</f>
        <v>0</v>
      </c>
      <c r="M27" s="20" t="s">
        <v>5</v>
      </c>
      <c r="N27" s="20" t="s">
        <v>373</v>
      </c>
      <c r="O27" s="20" t="s">
        <v>372</v>
      </c>
      <c r="P27" s="46">
        <f t="shared" ref="P27:Q27" ca="1" si="47">(1-$C$5)*V27</f>
        <v>4.7540487622931629</v>
      </c>
      <c r="Q27" s="46">
        <f t="shared" ca="1" si="47"/>
        <v>1.3950210605054358</v>
      </c>
      <c r="R27" s="21">
        <f t="shared" si="3"/>
        <v>0</v>
      </c>
      <c r="S27" s="128">
        <f t="shared" ref="S27:T27" ca="1" si="48">$R27*P27</f>
        <v>0</v>
      </c>
      <c r="T27" s="128">
        <f t="shared" ca="1" si="48"/>
        <v>0</v>
      </c>
      <c r="V27" s="75">
        <f ca="1"/>
        <v>4.7540487622931629</v>
      </c>
      <c r="W27" s="75">
        <f ca="1"/>
        <v>1.3950210605054358</v>
      </c>
      <c r="X27" s="21">
        <f ca="1">'res bld calcs'!G18-R27</f>
        <v>3856</v>
      </c>
      <c r="Y27" s="128">
        <f t="shared" ref="Y27:Z27" ca="1" si="49">$X27*V27</f>
        <v>18331.612027402436</v>
      </c>
      <c r="Z27" s="128">
        <f t="shared" ca="1" si="49"/>
        <v>5379.2012093089606</v>
      </c>
    </row>
    <row r="28" spans="1:26" ht="13.2">
      <c r="A28" s="108"/>
      <c r="D28" s="21"/>
      <c r="E28" s="21"/>
      <c r="F28" s="108"/>
      <c r="H28" s="20" t="str">
        <f ca="1">IFERROR(__xludf.DUMMYFUNCTION("""COMPUTED_VALUE"""),"Miami")</f>
        <v>Miami</v>
      </c>
      <c r="I28" s="154">
        <f t="shared" ca="1" si="46"/>
        <v>0</v>
      </c>
      <c r="M28" s="20" t="s">
        <v>5</v>
      </c>
      <c r="N28" s="20" t="s">
        <v>373</v>
      </c>
      <c r="O28" s="20" t="s">
        <v>374</v>
      </c>
      <c r="P28" s="46">
        <f t="shared" ref="P28:Q28" ca="1" si="50">(1-$C$5)*V28</f>
        <v>8.036491096871675</v>
      </c>
      <c r="Q28" s="46">
        <f t="shared" ca="1" si="50"/>
        <v>0</v>
      </c>
      <c r="R28" s="21">
        <f t="shared" si="3"/>
        <v>0</v>
      </c>
      <c r="S28" s="128">
        <f t="shared" ref="S28:T28" ca="1" si="51">$R28*P28</f>
        <v>0</v>
      </c>
      <c r="T28" s="128">
        <f t="shared" ca="1" si="51"/>
        <v>0</v>
      </c>
      <c r="V28" s="75">
        <f ca="1"/>
        <v>8.036491096871675</v>
      </c>
      <c r="W28" s="75">
        <f ca="1"/>
        <v>0</v>
      </c>
      <c r="X28" s="21">
        <f ca="1">'res bld calcs'!G19-R28</f>
        <v>3856</v>
      </c>
      <c r="Y28" s="128">
        <f t="shared" ref="Y28:Z28" ca="1" si="52">$X28*V28</f>
        <v>30988.70966953718</v>
      </c>
      <c r="Z28" s="128">
        <f t="shared" ca="1" si="52"/>
        <v>0</v>
      </c>
    </row>
    <row r="29" spans="1:26" ht="13.2">
      <c r="A29" s="108"/>
      <c r="D29" s="21"/>
      <c r="E29" s="21"/>
      <c r="F29" s="108"/>
      <c r="H29" s="20" t="str">
        <f ca="1">IFERROR(__xludf.DUMMYFUNCTION("""COMPUTED_VALUE"""),"Montgomery")</f>
        <v>Montgomery</v>
      </c>
      <c r="I29" s="154">
        <f t="shared" ca="1" si="46"/>
        <v>300</v>
      </c>
      <c r="M29" s="20" t="s">
        <v>5</v>
      </c>
      <c r="N29" s="20" t="s">
        <v>373</v>
      </c>
      <c r="O29" s="20" t="s">
        <v>375</v>
      </c>
      <c r="P29" s="46">
        <f t="shared" ref="P29:Q29" ca="1" si="53">(1-$C$5)*V29</f>
        <v>1.7903008885811684</v>
      </c>
      <c r="Q29" s="46">
        <f t="shared" ca="1" si="53"/>
        <v>0</v>
      </c>
      <c r="R29" s="21">
        <f t="shared" si="3"/>
        <v>0</v>
      </c>
      <c r="S29" s="128">
        <f t="shared" ref="S29:T29" ca="1" si="54">$R29*P29</f>
        <v>0</v>
      </c>
      <c r="T29" s="128">
        <f t="shared" ca="1" si="54"/>
        <v>0</v>
      </c>
      <c r="V29" s="75">
        <f ca="1"/>
        <v>1.7903008885811684</v>
      </c>
      <c r="W29" s="75">
        <f ca="1"/>
        <v>0</v>
      </c>
      <c r="X29" s="21">
        <f ca="1">'res bld calcs'!G20-R29</f>
        <v>3856</v>
      </c>
      <c r="Y29" s="128">
        <f t="shared" ref="Y29:Z29" ca="1" si="55">$X29*V29</f>
        <v>6903.4002263689854</v>
      </c>
      <c r="Z29" s="128">
        <f t="shared" ca="1" si="55"/>
        <v>0</v>
      </c>
    </row>
    <row r="30" spans="1:26" ht="13.2">
      <c r="A30" s="108"/>
      <c r="D30" s="21"/>
      <c r="E30" s="21"/>
      <c r="F30" s="108"/>
      <c r="H30" s="20" t="s">
        <v>32</v>
      </c>
      <c r="I30" s="154">
        <f ca="1">SUM(I27:I29)</f>
        <v>300</v>
      </c>
      <c r="M30" s="20" t="s">
        <v>5</v>
      </c>
      <c r="N30" s="20" t="s">
        <v>373</v>
      </c>
      <c r="O30" s="20" t="s">
        <v>376</v>
      </c>
      <c r="P30" s="46">
        <f t="shared" ref="P30:Q30" ca="1" si="56">(1-$C$5)*V30</f>
        <v>3.7135739545801472</v>
      </c>
      <c r="Q30" s="46">
        <f t="shared" ca="1" si="56"/>
        <v>0</v>
      </c>
      <c r="R30" s="21">
        <f t="shared" si="3"/>
        <v>0</v>
      </c>
      <c r="S30" s="128">
        <f t="shared" ref="S30:T30" ca="1" si="57">$R30*P30</f>
        <v>0</v>
      </c>
      <c r="T30" s="128">
        <f t="shared" ca="1" si="57"/>
        <v>0</v>
      </c>
      <c r="V30" s="75">
        <f ca="1"/>
        <v>3.7135739545801472</v>
      </c>
      <c r="W30" s="75">
        <f ca="1"/>
        <v>0</v>
      </c>
      <c r="X30" s="21">
        <f ca="1">'res bld calcs'!G21-R30</f>
        <v>3856</v>
      </c>
      <c r="Y30" s="128">
        <f t="shared" ref="Y30:Z30" ca="1" si="58">$X30*V30</f>
        <v>14319.541168861047</v>
      </c>
      <c r="Z30" s="128">
        <f t="shared" ca="1" si="58"/>
        <v>0</v>
      </c>
    </row>
    <row r="31" spans="1:26" ht="13.2">
      <c r="A31" s="108"/>
      <c r="D31" s="21"/>
      <c r="E31" s="21"/>
      <c r="F31" s="108"/>
      <c r="M31" s="20" t="s">
        <v>5</v>
      </c>
      <c r="N31" s="20" t="s">
        <v>373</v>
      </c>
      <c r="O31" s="20" t="s">
        <v>377</v>
      </c>
      <c r="P31" s="46">
        <f ca="1">IF($C$6="Yes",((1-$C$4)*W31/$F$4)+V31,(1-$C$4)*V31)</f>
        <v>17.189049396554559</v>
      </c>
      <c r="Q31" s="46">
        <f>IF($C$6="Yes",0,(1-$C$4)*W31)</f>
        <v>0</v>
      </c>
      <c r="R31" s="21">
        <f t="shared" si="3"/>
        <v>0</v>
      </c>
      <c r="S31" s="128">
        <f t="shared" ref="S31:T31" ca="1" si="59">$R31*P31</f>
        <v>0</v>
      </c>
      <c r="T31" s="128">
        <f t="shared" si="59"/>
        <v>0</v>
      </c>
      <c r="V31" s="75">
        <f ca="1"/>
        <v>12.516349161540184</v>
      </c>
      <c r="W31" s="75">
        <f ca="1"/>
        <v>28.03620141008626</v>
      </c>
      <c r="X31" s="21">
        <f ca="1">'res bld calcs'!G22-R31</f>
        <v>3856</v>
      </c>
      <c r="Y31" s="128">
        <f t="shared" ref="Y31:Z31" ca="1" si="60">$X31*V31</f>
        <v>48263.042366898946</v>
      </c>
      <c r="Z31" s="128">
        <f t="shared" ca="1" si="60"/>
        <v>108107.59263729262</v>
      </c>
    </row>
    <row r="32" spans="1:26" ht="13.2">
      <c r="B32" s="163">
        <v>2026</v>
      </c>
      <c r="C32" s="163">
        <v>2027</v>
      </c>
      <c r="D32" s="163">
        <v>2028</v>
      </c>
      <c r="E32" s="164">
        <v>2029</v>
      </c>
      <c r="F32" s="163">
        <v>2030</v>
      </c>
      <c r="G32" s="163">
        <v>2050</v>
      </c>
      <c r="I32" s="154"/>
      <c r="M32" s="20" t="s">
        <v>5</v>
      </c>
      <c r="N32" s="20" t="s">
        <v>373</v>
      </c>
      <c r="O32" s="20" t="s">
        <v>378</v>
      </c>
      <c r="P32" s="46">
        <f ca="1">IF($C$7="Yes",((1-$C$5)*W32/$F$4)+V32,(1-$C$5)*V32)</f>
        <v>5.9207943094404465</v>
      </c>
      <c r="Q32" s="46">
        <f>IF($C$7="Yes",0,(1-$C$5)*W32)</f>
        <v>0</v>
      </c>
      <c r="R32" s="21">
        <f t="shared" si="3"/>
        <v>0</v>
      </c>
      <c r="S32" s="128">
        <f t="shared" ref="S32:T32" ca="1" si="61">$R32*P32</f>
        <v>0</v>
      </c>
      <c r="T32" s="128">
        <f t="shared" si="61"/>
        <v>0</v>
      </c>
      <c r="V32" s="75">
        <f ca="1"/>
        <v>1.5656128254412518</v>
      </c>
      <c r="W32" s="75">
        <f ca="1"/>
        <v>13.065544451997583</v>
      </c>
      <c r="X32" s="21">
        <f ca="1">'res bld calcs'!G23-R32</f>
        <v>3856</v>
      </c>
      <c r="Y32" s="128">
        <f t="shared" ref="Y32:Z32" ca="1" si="62">$X32*V32</f>
        <v>6037.0030549014673</v>
      </c>
      <c r="Z32" s="128">
        <f t="shared" ca="1" si="62"/>
        <v>50380.739406902685</v>
      </c>
    </row>
    <row r="33" spans="1:26" ht="13.2">
      <c r="A33" s="45" t="s">
        <v>569</v>
      </c>
      <c r="B33" s="21">
        <v>0</v>
      </c>
      <c r="C33" s="21">
        <v>10</v>
      </c>
      <c r="D33" s="21">
        <v>50</v>
      </c>
      <c r="E33" s="21">
        <v>100</v>
      </c>
      <c r="F33" s="21">
        <v>300</v>
      </c>
      <c r="G33" s="21">
        <v>300</v>
      </c>
      <c r="I33" s="154"/>
      <c r="M33" s="20" t="s">
        <v>5</v>
      </c>
      <c r="N33" s="20" t="s">
        <v>370</v>
      </c>
      <c r="O33" s="20" t="s">
        <v>369</v>
      </c>
      <c r="P33" s="46">
        <f t="shared" ref="P33:Q33" ca="1" si="63">(1-$C$5)*V33</f>
        <v>4.1932753810523495</v>
      </c>
      <c r="Q33" s="46">
        <f t="shared" ca="1" si="63"/>
        <v>1.7522139124893987E-2</v>
      </c>
      <c r="R33" s="21">
        <f t="shared" si="3"/>
        <v>0</v>
      </c>
      <c r="S33" s="128">
        <f t="shared" ref="S33:T33" ca="1" si="64">$R33*P33</f>
        <v>0</v>
      </c>
      <c r="T33" s="128">
        <f t="shared" ca="1" si="64"/>
        <v>0</v>
      </c>
      <c r="V33" s="75">
        <f ca="1"/>
        <v>4.1932753810523495</v>
      </c>
      <c r="W33" s="75">
        <f ca="1"/>
        <v>1.7522139124893987E-2</v>
      </c>
      <c r="X33" s="21">
        <f ca="1">'res bld calcs'!G24-R33</f>
        <v>51557</v>
      </c>
      <c r="Y33" s="128">
        <f t="shared" ref="Y33:Z33" ca="1" si="65">$X33*V33</f>
        <v>216192.69882091598</v>
      </c>
      <c r="Z33" s="128">
        <f t="shared" ca="1" si="65"/>
        <v>903.38892686215922</v>
      </c>
    </row>
    <row r="34" spans="1:26" ht="13.2">
      <c r="A34" s="45" t="s">
        <v>600</v>
      </c>
      <c r="B34" s="75">
        <v>0</v>
      </c>
      <c r="C34" s="75">
        <v>8.0693067001282301E-2</v>
      </c>
      <c r="D34" s="75">
        <v>0.40346533500641163</v>
      </c>
      <c r="E34" s="75">
        <v>0.80693067001282326</v>
      </c>
      <c r="F34" s="75">
        <v>2.4207920100384692</v>
      </c>
      <c r="G34" s="75">
        <v>2.4207920100384692</v>
      </c>
      <c r="I34" s="154"/>
      <c r="M34" s="20" t="s">
        <v>5</v>
      </c>
      <c r="N34" s="20" t="s">
        <v>370</v>
      </c>
      <c r="O34" s="20" t="s">
        <v>372</v>
      </c>
      <c r="P34" s="46">
        <f t="shared" ref="P34:Q34" ca="1" si="66">(1-$C$5)*V34</f>
        <v>5.7476607316917425</v>
      </c>
      <c r="Q34" s="46">
        <f t="shared" ca="1" si="66"/>
        <v>0.93886088325684824</v>
      </c>
      <c r="R34" s="21">
        <f t="shared" si="3"/>
        <v>0</v>
      </c>
      <c r="S34" s="128">
        <f t="shared" ref="S34:T34" ca="1" si="67">$R34*P34</f>
        <v>0</v>
      </c>
      <c r="T34" s="128">
        <f t="shared" ca="1" si="67"/>
        <v>0</v>
      </c>
      <c r="V34" s="75">
        <f ca="1"/>
        <v>5.7476607316917425</v>
      </c>
      <c r="W34" s="75">
        <f ca="1"/>
        <v>0.93886088325684824</v>
      </c>
      <c r="X34" s="21">
        <f ca="1">'res bld calcs'!G25-R34</f>
        <v>51557</v>
      </c>
      <c r="Y34" s="128">
        <f t="shared" ref="Y34:Z34" ca="1" si="68">$X34*V34</f>
        <v>296332.14434383117</v>
      </c>
      <c r="Z34" s="128">
        <f t="shared" ca="1" si="68"/>
        <v>48404.850558073325</v>
      </c>
    </row>
    <row r="35" spans="1:26" ht="13.2">
      <c r="A35" s="108"/>
      <c r="D35" s="21"/>
      <c r="E35" s="21"/>
      <c r="F35" s="108"/>
      <c r="H35" s="2"/>
      <c r="M35" s="20" t="s">
        <v>5</v>
      </c>
      <c r="N35" s="20" t="s">
        <v>370</v>
      </c>
      <c r="O35" s="20" t="s">
        <v>374</v>
      </c>
      <c r="P35" s="46">
        <f t="shared" ref="P35:Q35" ca="1" si="69">(1-$C$5)*V35</f>
        <v>6.7632442867164988</v>
      </c>
      <c r="Q35" s="46">
        <f t="shared" ca="1" si="69"/>
        <v>0</v>
      </c>
      <c r="R35" s="21">
        <f t="shared" si="3"/>
        <v>0</v>
      </c>
      <c r="S35" s="128">
        <f t="shared" ref="S35:T35" ca="1" si="70">$R35*P35</f>
        <v>0</v>
      </c>
      <c r="T35" s="128">
        <f t="shared" ca="1" si="70"/>
        <v>0</v>
      </c>
      <c r="V35" s="75">
        <f ca="1"/>
        <v>6.7632442867164988</v>
      </c>
      <c r="W35" s="75">
        <f ca="1"/>
        <v>0</v>
      </c>
      <c r="X35" s="21">
        <f ca="1">'res bld calcs'!G26-R35</f>
        <v>51557</v>
      </c>
      <c r="Y35" s="128">
        <f t="shared" ref="Y35:Z35" ca="1" si="71">$X35*V35</f>
        <v>348692.58569024253</v>
      </c>
      <c r="Z35" s="128">
        <f t="shared" ca="1" si="71"/>
        <v>0</v>
      </c>
    </row>
    <row r="36" spans="1:26" ht="13.2">
      <c r="A36" s="108"/>
      <c r="D36" s="21"/>
      <c r="E36" s="21"/>
      <c r="F36" s="108"/>
      <c r="H36" s="2"/>
      <c r="M36" s="20" t="s">
        <v>5</v>
      </c>
      <c r="N36" s="20" t="s">
        <v>370</v>
      </c>
      <c r="O36" s="20" t="s">
        <v>375</v>
      </c>
      <c r="P36" s="46">
        <f t="shared" ref="P36:Q36" ca="1" si="72">(1-$C$5)*V36</f>
        <v>2.4634551511213485</v>
      </c>
      <c r="Q36" s="46">
        <f t="shared" ca="1" si="72"/>
        <v>0</v>
      </c>
      <c r="R36" s="21">
        <f t="shared" si="3"/>
        <v>0</v>
      </c>
      <c r="S36" s="128">
        <f t="shared" ref="S36:T36" ca="1" si="73">$R36*P36</f>
        <v>0</v>
      </c>
      <c r="T36" s="128">
        <f t="shared" ca="1" si="73"/>
        <v>0</v>
      </c>
      <c r="V36" s="75">
        <f ca="1"/>
        <v>2.4634551511213485</v>
      </c>
      <c r="W36" s="75">
        <f ca="1"/>
        <v>0</v>
      </c>
      <c r="X36" s="21">
        <f ca="1">'res bld calcs'!G27-R36</f>
        <v>51557</v>
      </c>
      <c r="Y36" s="128">
        <f t="shared" ref="Y36:Z36" ca="1" si="74">$X36*V36</f>
        <v>127008.35722636337</v>
      </c>
      <c r="Z36" s="128">
        <f t="shared" ca="1" si="74"/>
        <v>0</v>
      </c>
    </row>
    <row r="37" spans="1:26" ht="13.2">
      <c r="H37" s="9"/>
      <c r="M37" s="20" t="s">
        <v>5</v>
      </c>
      <c r="N37" s="20" t="s">
        <v>370</v>
      </c>
      <c r="O37" s="20" t="s">
        <v>376</v>
      </c>
      <c r="P37" s="46">
        <f t="shared" ref="P37:Q37" ca="1" si="75">(1-$C$5)*V37</f>
        <v>4.3176174023855989</v>
      </c>
      <c r="Q37" s="46">
        <f t="shared" ca="1" si="75"/>
        <v>0</v>
      </c>
      <c r="R37" s="21">
        <f t="shared" si="3"/>
        <v>0</v>
      </c>
      <c r="S37" s="128">
        <f t="shared" ref="S37:T37" ca="1" si="76">$R37*P37</f>
        <v>0</v>
      </c>
      <c r="T37" s="128">
        <f t="shared" ca="1" si="76"/>
        <v>0</v>
      </c>
      <c r="V37" s="75">
        <f ca="1"/>
        <v>4.3176174023855989</v>
      </c>
      <c r="W37" s="75">
        <f ca="1"/>
        <v>0</v>
      </c>
      <c r="X37" s="21">
        <f ca="1">'res bld calcs'!G28-R37</f>
        <v>51557</v>
      </c>
      <c r="Y37" s="128">
        <f t="shared" ref="Y37:Z37" ca="1" si="77">$X37*V37</f>
        <v>222603.40041479433</v>
      </c>
      <c r="Z37" s="128">
        <f t="shared" ca="1" si="77"/>
        <v>0</v>
      </c>
    </row>
    <row r="38" spans="1:26" ht="13.2">
      <c r="M38" s="20" t="s">
        <v>5</v>
      </c>
      <c r="N38" s="20" t="s">
        <v>370</v>
      </c>
      <c r="O38" s="20" t="s">
        <v>377</v>
      </c>
      <c r="P38" s="46">
        <f ca="1">IF($C$6="Yes",((1-$C$4)*W38/$F$4)+V38,(1-$C$4)*V38)</f>
        <v>19.273926859426833</v>
      </c>
      <c r="Q38" s="46">
        <f>IF($C$6="Yes",0,(1-$C$4)*W38)</f>
        <v>0</v>
      </c>
      <c r="R38" s="21">
        <f t="shared" si="3"/>
        <v>0</v>
      </c>
      <c r="S38" s="128">
        <f t="shared" ref="S38:T38" ca="1" si="78">$R38*P38</f>
        <v>0</v>
      </c>
      <c r="T38" s="128">
        <f t="shared" si="78"/>
        <v>0</v>
      </c>
      <c r="V38" s="75">
        <f ca="1"/>
        <v>13.253481543915322</v>
      </c>
      <c r="W38" s="75">
        <f ca="1"/>
        <v>36.122671893069061</v>
      </c>
      <c r="X38" s="21">
        <f ca="1">'res bld calcs'!G29-R38</f>
        <v>51557</v>
      </c>
      <c r="Y38" s="128">
        <f t="shared" ref="Y38:Z38" ca="1" si="79">$X38*V38</f>
        <v>683309.74795964232</v>
      </c>
      <c r="Z38" s="128">
        <f t="shared" ca="1" si="79"/>
        <v>1862376.5947909616</v>
      </c>
    </row>
    <row r="39" spans="1:26" ht="13.2">
      <c r="M39" s="20" t="s">
        <v>5</v>
      </c>
      <c r="N39" s="20" t="s">
        <v>370</v>
      </c>
      <c r="O39" s="20" t="s">
        <v>378</v>
      </c>
      <c r="P39" s="46">
        <f ca="1">IF($C$7="Yes",((1-$C$5)*W39/$F$4)+V39,(1-$C$5)*V39)</f>
        <v>4.8017545273305444</v>
      </c>
      <c r="Q39" s="46">
        <f>IF($C$7="Yes",0,(1-$C$5)*W39)</f>
        <v>0</v>
      </c>
      <c r="R39" s="21">
        <f t="shared" si="3"/>
        <v>0</v>
      </c>
      <c r="S39" s="128">
        <f t="shared" ref="S39:T39" ca="1" si="80">$R39*P39</f>
        <v>0</v>
      </c>
      <c r="T39" s="128">
        <f t="shared" si="80"/>
        <v>0</v>
      </c>
      <c r="V39" s="75">
        <f ca="1"/>
        <v>2.9958505249510519</v>
      </c>
      <c r="W39" s="75">
        <f ca="1"/>
        <v>5.4177120071384772</v>
      </c>
      <c r="X39" s="21">
        <f ca="1">'res bld calcs'!G30-R39</f>
        <v>51557</v>
      </c>
      <c r="Y39" s="128">
        <f t="shared" ref="Y39:Z39" ca="1" si="81">$X39*V39</f>
        <v>154457.06551490139</v>
      </c>
      <c r="Z39" s="128">
        <f t="shared" ca="1" si="81"/>
        <v>279320.97795203846</v>
      </c>
    </row>
    <row r="40" spans="1:26" ht="13.2">
      <c r="M40" s="20" t="s">
        <v>9</v>
      </c>
      <c r="N40" s="20" t="s">
        <v>366</v>
      </c>
      <c r="O40" s="20" t="s">
        <v>369</v>
      </c>
      <c r="P40" s="46">
        <f t="shared" ref="P40:Q40" ca="1" si="82">(1-$C$5)*V40</f>
        <v>1.2562172913022078</v>
      </c>
      <c r="Q40" s="46">
        <f t="shared" ca="1" si="82"/>
        <v>0</v>
      </c>
      <c r="R40" s="21">
        <f t="shared" si="3"/>
        <v>0</v>
      </c>
      <c r="S40" s="128">
        <f t="shared" ref="S40:T40" ca="1" si="83">$R40*P40</f>
        <v>0</v>
      </c>
      <c r="T40" s="128">
        <f t="shared" ca="1" si="83"/>
        <v>0</v>
      </c>
      <c r="V40" s="75">
        <f ca="1"/>
        <v>1.2562172913022078</v>
      </c>
      <c r="W40" s="75">
        <f ca="1"/>
        <v>0</v>
      </c>
      <c r="X40" s="21">
        <f ca="1">'res bld calcs'!G31-R40</f>
        <v>793</v>
      </c>
      <c r="Y40" s="128">
        <f t="shared" ref="Y40:Z40" ca="1" si="84">$X40*V40</f>
        <v>996.18031200265079</v>
      </c>
      <c r="Z40" s="128">
        <f t="shared" ca="1" si="84"/>
        <v>0</v>
      </c>
    </row>
    <row r="41" spans="1:26" ht="13.2">
      <c r="M41" s="20" t="s">
        <v>9</v>
      </c>
      <c r="N41" s="20" t="s">
        <v>366</v>
      </c>
      <c r="O41" s="20" t="s">
        <v>372</v>
      </c>
      <c r="P41" s="46">
        <f t="shared" ref="P41:Q41" ca="1" si="85">(1-$C$5)*V41</f>
        <v>4.2721365955280097</v>
      </c>
      <c r="Q41" s="46">
        <f t="shared" ca="1" si="85"/>
        <v>0.49034253395724603</v>
      </c>
      <c r="R41" s="21">
        <f t="shared" si="3"/>
        <v>0</v>
      </c>
      <c r="S41" s="128">
        <f t="shared" ref="S41:T41" ca="1" si="86">$R41*P41</f>
        <v>0</v>
      </c>
      <c r="T41" s="128">
        <f t="shared" ca="1" si="86"/>
        <v>0</v>
      </c>
      <c r="V41" s="75">
        <f ca="1"/>
        <v>4.2721365955280097</v>
      </c>
      <c r="W41" s="75">
        <f ca="1"/>
        <v>0.49034253395724603</v>
      </c>
      <c r="X41" s="21">
        <f ca="1">'res bld calcs'!G32-R41</f>
        <v>793</v>
      </c>
      <c r="Y41" s="128">
        <f t="shared" ref="Y41:Z41" ca="1" si="87">$X41*V41</f>
        <v>3387.8043202537119</v>
      </c>
      <c r="Z41" s="128">
        <f t="shared" ca="1" si="87"/>
        <v>388.8416294280961</v>
      </c>
    </row>
    <row r="42" spans="1:26" ht="13.2">
      <c r="M42" s="20" t="s">
        <v>9</v>
      </c>
      <c r="N42" s="20" t="s">
        <v>366</v>
      </c>
      <c r="O42" s="20" t="s">
        <v>374</v>
      </c>
      <c r="P42" s="46">
        <f t="shared" ref="P42:Q42" ca="1" si="88">(1-$C$5)*V42</f>
        <v>4.2859173166227835</v>
      </c>
      <c r="Q42" s="46">
        <f t="shared" ca="1" si="88"/>
        <v>0</v>
      </c>
      <c r="R42" s="21">
        <f t="shared" si="3"/>
        <v>0</v>
      </c>
      <c r="S42" s="128">
        <f t="shared" ref="S42:T42" ca="1" si="89">$R42*P42</f>
        <v>0</v>
      </c>
      <c r="T42" s="128">
        <f t="shared" ca="1" si="89"/>
        <v>0</v>
      </c>
      <c r="V42" s="75">
        <f ca="1"/>
        <v>4.2859173166227835</v>
      </c>
      <c r="W42" s="75">
        <f ca="1"/>
        <v>0</v>
      </c>
      <c r="X42" s="21">
        <f ca="1">'res bld calcs'!G33-R42</f>
        <v>793</v>
      </c>
      <c r="Y42" s="128">
        <f t="shared" ref="Y42:Z42" ca="1" si="90">$X42*V42</f>
        <v>3398.7324320818675</v>
      </c>
      <c r="Z42" s="128">
        <f t="shared" ca="1" si="90"/>
        <v>0</v>
      </c>
    </row>
    <row r="43" spans="1:26" ht="13.2">
      <c r="M43" s="20" t="s">
        <v>9</v>
      </c>
      <c r="N43" s="20" t="s">
        <v>366</v>
      </c>
      <c r="O43" s="20" t="s">
        <v>375</v>
      </c>
      <c r="P43" s="46">
        <f t="shared" ref="P43:Q43" ca="1" si="91">(1-$C$5)*V43</f>
        <v>1.6407396498923468</v>
      </c>
      <c r="Q43" s="46">
        <f t="shared" ca="1" si="91"/>
        <v>0</v>
      </c>
      <c r="R43" s="21">
        <f t="shared" si="3"/>
        <v>0</v>
      </c>
      <c r="S43" s="128">
        <f t="shared" ref="S43:T43" ca="1" si="92">$R43*P43</f>
        <v>0</v>
      </c>
      <c r="T43" s="128">
        <f t="shared" ca="1" si="92"/>
        <v>0</v>
      </c>
      <c r="V43" s="75">
        <f ca="1"/>
        <v>1.6407396498923468</v>
      </c>
      <c r="W43" s="75">
        <f ca="1"/>
        <v>0</v>
      </c>
      <c r="X43" s="21">
        <f ca="1">'res bld calcs'!G34-R43</f>
        <v>793</v>
      </c>
      <c r="Y43" s="128">
        <f t="shared" ref="Y43:Z43" ca="1" si="93">$X43*V43</f>
        <v>1301.106542364631</v>
      </c>
      <c r="Z43" s="128">
        <f t="shared" ca="1" si="93"/>
        <v>0</v>
      </c>
    </row>
    <row r="44" spans="1:26" ht="13.2">
      <c r="M44" s="20" t="s">
        <v>9</v>
      </c>
      <c r="N44" s="20" t="s">
        <v>366</v>
      </c>
      <c r="O44" s="20" t="s">
        <v>376</v>
      </c>
      <c r="P44" s="46">
        <f t="shared" ref="P44:Q44" ca="1" si="94">(1-$C$5)*V44</f>
        <v>4.01207539637225</v>
      </c>
      <c r="Q44" s="46">
        <f t="shared" ca="1" si="94"/>
        <v>0</v>
      </c>
      <c r="R44" s="21">
        <f t="shared" si="3"/>
        <v>0</v>
      </c>
      <c r="S44" s="128">
        <f t="shared" ref="S44:T44" ca="1" si="95">$R44*P44</f>
        <v>0</v>
      </c>
      <c r="T44" s="128">
        <f t="shared" ca="1" si="95"/>
        <v>0</v>
      </c>
      <c r="V44" s="75">
        <f ca="1"/>
        <v>4.01207539637225</v>
      </c>
      <c r="W44" s="75">
        <f ca="1"/>
        <v>0</v>
      </c>
      <c r="X44" s="21">
        <f ca="1">'res bld calcs'!G35-R44</f>
        <v>793</v>
      </c>
      <c r="Y44" s="128">
        <f t="shared" ref="Y44:Z44" ca="1" si="96">$X44*V44</f>
        <v>3181.5757893231944</v>
      </c>
      <c r="Z44" s="128">
        <f t="shared" ca="1" si="96"/>
        <v>0</v>
      </c>
    </row>
    <row r="45" spans="1:26" ht="13.2">
      <c r="M45" s="20" t="s">
        <v>9</v>
      </c>
      <c r="N45" s="20" t="s">
        <v>366</v>
      </c>
      <c r="O45" s="20" t="s">
        <v>377</v>
      </c>
      <c r="P45" s="46">
        <f ca="1">IF($C$6="Yes",((1-$C$4)*W45/$F$4)+V45,(1-$C$4)*V45)</f>
        <v>28.420450254784644</v>
      </c>
      <c r="Q45" s="46">
        <f>IF($C$6="Yes",0,(1-$C$4)*W45)</f>
        <v>0</v>
      </c>
      <c r="R45" s="21">
        <f t="shared" si="3"/>
        <v>0</v>
      </c>
      <c r="S45" s="128">
        <f t="shared" ref="S45:T45" ca="1" si="97">$R45*P45</f>
        <v>0</v>
      </c>
      <c r="T45" s="128">
        <f t="shared" si="97"/>
        <v>0</v>
      </c>
      <c r="V45" s="75">
        <f ca="1"/>
        <v>22.642593601938355</v>
      </c>
      <c r="W45" s="75">
        <f ca="1"/>
        <v>34.667139917077741</v>
      </c>
      <c r="X45" s="21">
        <f ca="1">'res bld calcs'!G36-R45</f>
        <v>793</v>
      </c>
      <c r="Y45" s="128">
        <f t="shared" ref="Y45:Z45" ca="1" si="98">$X45*V45</f>
        <v>17955.576726337116</v>
      </c>
      <c r="Z45" s="128">
        <f t="shared" ca="1" si="98"/>
        <v>27491.04195424265</v>
      </c>
    </row>
    <row r="46" spans="1:26" ht="13.2">
      <c r="M46" s="20" t="s">
        <v>9</v>
      </c>
      <c r="N46" s="20" t="s">
        <v>366</v>
      </c>
      <c r="O46" s="20" t="s">
        <v>378</v>
      </c>
      <c r="P46" s="46">
        <f ca="1">IF($C$7="Yes",((1-$C$5)*W46/$F$4)+V46,(1-$C$5)*V46)</f>
        <v>2.4891170263654212</v>
      </c>
      <c r="Q46" s="46">
        <f>IF($C$7="Yes",0,(1-$C$5)*W46)</f>
        <v>0</v>
      </c>
      <c r="R46" s="21">
        <f t="shared" si="3"/>
        <v>0</v>
      </c>
      <c r="S46" s="128">
        <f t="shared" ref="S46:T46" ca="1" si="99">$R46*P46</f>
        <v>0</v>
      </c>
      <c r="T46" s="128">
        <f t="shared" si="99"/>
        <v>0</v>
      </c>
      <c r="V46" s="75">
        <f ca="1"/>
        <v>1.13442278711678</v>
      </c>
      <c r="W46" s="75">
        <f ca="1"/>
        <v>4.064082717745924</v>
      </c>
      <c r="X46" s="21">
        <f ca="1">'res bld calcs'!G37-R46</f>
        <v>793</v>
      </c>
      <c r="Y46" s="128">
        <f t="shared" ref="Y46:Z46" ca="1" si="100">$X46*V46</f>
        <v>899.59727018360661</v>
      </c>
      <c r="Z46" s="128">
        <f t="shared" ca="1" si="100"/>
        <v>3222.8175951725179</v>
      </c>
    </row>
    <row r="47" spans="1:26" ht="13.2">
      <c r="M47" s="20" t="s">
        <v>9</v>
      </c>
      <c r="N47" s="20" t="s">
        <v>371</v>
      </c>
      <c r="O47" s="20" t="s">
        <v>369</v>
      </c>
      <c r="P47" s="46">
        <f t="shared" ref="P47:Q47" ca="1" si="101">(1-$C$5)*V47</f>
        <v>2.2055779446775898</v>
      </c>
      <c r="Q47" s="46">
        <f t="shared" ca="1" si="101"/>
        <v>0</v>
      </c>
      <c r="R47" s="21">
        <f t="shared" si="3"/>
        <v>0</v>
      </c>
      <c r="S47" s="128">
        <f t="shared" ref="S47:T47" ca="1" si="102">$R47*P47</f>
        <v>0</v>
      </c>
      <c r="T47" s="128">
        <f t="shared" ca="1" si="102"/>
        <v>0</v>
      </c>
      <c r="V47" s="75">
        <f ca="1"/>
        <v>2.2055779446775898</v>
      </c>
      <c r="W47" s="75">
        <f ca="1"/>
        <v>0</v>
      </c>
      <c r="X47" s="21">
        <f ca="1">'res bld calcs'!G38-R47</f>
        <v>7051</v>
      </c>
      <c r="Y47" s="128">
        <f t="shared" ref="Y47:Z47" ca="1" si="103">$X47*V47</f>
        <v>15551.530087921687</v>
      </c>
      <c r="Z47" s="128">
        <f t="shared" ca="1" si="103"/>
        <v>0</v>
      </c>
    </row>
    <row r="48" spans="1:26" ht="13.2">
      <c r="M48" s="20" t="s">
        <v>9</v>
      </c>
      <c r="N48" s="20" t="s">
        <v>371</v>
      </c>
      <c r="O48" s="20" t="s">
        <v>372</v>
      </c>
      <c r="P48" s="46">
        <f t="shared" ref="P48:Q48" ca="1" si="104">(1-$C$5)*V48</f>
        <v>3.7612928264543175</v>
      </c>
      <c r="Q48" s="46">
        <f t="shared" ca="1" si="104"/>
        <v>0.77237742552579092</v>
      </c>
      <c r="R48" s="21">
        <f t="shared" si="3"/>
        <v>0</v>
      </c>
      <c r="S48" s="128">
        <f t="shared" ref="S48:T48" ca="1" si="105">$R48*P48</f>
        <v>0</v>
      </c>
      <c r="T48" s="128">
        <f t="shared" ca="1" si="105"/>
        <v>0</v>
      </c>
      <c r="V48" s="75">
        <f ca="1"/>
        <v>3.7612928264543175</v>
      </c>
      <c r="W48" s="75">
        <f ca="1"/>
        <v>0.77237742552579092</v>
      </c>
      <c r="X48" s="21">
        <f ca="1">'res bld calcs'!G39-R48</f>
        <v>7051</v>
      </c>
      <c r="Y48" s="128">
        <f t="shared" ref="Y48:Z48" ca="1" si="106">$X48*V48</f>
        <v>26520.875719329393</v>
      </c>
      <c r="Z48" s="128">
        <f t="shared" ca="1" si="106"/>
        <v>5446.0332273823515</v>
      </c>
    </row>
    <row r="49" spans="13:26" ht="13.2">
      <c r="M49" s="20" t="s">
        <v>9</v>
      </c>
      <c r="N49" s="20" t="s">
        <v>371</v>
      </c>
      <c r="O49" s="20" t="s">
        <v>374</v>
      </c>
      <c r="P49" s="46">
        <f t="shared" ref="P49:Q49" ca="1" si="107">(1-$C$5)*V49</f>
        <v>5.1808536346989182</v>
      </c>
      <c r="Q49" s="46">
        <f t="shared" ca="1" si="107"/>
        <v>0</v>
      </c>
      <c r="R49" s="21">
        <f t="shared" si="3"/>
        <v>0</v>
      </c>
      <c r="S49" s="128">
        <f t="shared" ref="S49:T49" ca="1" si="108">$R49*P49</f>
        <v>0</v>
      </c>
      <c r="T49" s="128">
        <f t="shared" ca="1" si="108"/>
        <v>0</v>
      </c>
      <c r="V49" s="75">
        <f ca="1"/>
        <v>5.1808536346989182</v>
      </c>
      <c r="W49" s="75">
        <f ca="1"/>
        <v>0</v>
      </c>
      <c r="X49" s="21">
        <f ca="1">'res bld calcs'!G40-R49</f>
        <v>7051</v>
      </c>
      <c r="Y49" s="128">
        <f t="shared" ref="Y49:Z49" ca="1" si="109">$X49*V49</f>
        <v>36530.198978262073</v>
      </c>
      <c r="Z49" s="128">
        <f t="shared" ca="1" si="109"/>
        <v>0</v>
      </c>
    </row>
    <row r="50" spans="13:26" ht="13.2">
      <c r="M50" s="20" t="s">
        <v>9</v>
      </c>
      <c r="N50" s="20" t="s">
        <v>371</v>
      </c>
      <c r="O50" s="20" t="s">
        <v>375</v>
      </c>
      <c r="P50" s="46">
        <f t="shared" ref="P50:Q50" ca="1" si="110">(1-$C$5)*V50</f>
        <v>1.380567509160465</v>
      </c>
      <c r="Q50" s="46">
        <f t="shared" ca="1" si="110"/>
        <v>0</v>
      </c>
      <c r="R50" s="21">
        <f t="shared" si="3"/>
        <v>0</v>
      </c>
      <c r="S50" s="128">
        <f t="shared" ref="S50:T50" ca="1" si="111">$R50*P50</f>
        <v>0</v>
      </c>
      <c r="T50" s="128">
        <f t="shared" ca="1" si="111"/>
        <v>0</v>
      </c>
      <c r="V50" s="75">
        <f ca="1"/>
        <v>1.380567509160465</v>
      </c>
      <c r="W50" s="75">
        <f ca="1"/>
        <v>0</v>
      </c>
      <c r="X50" s="21">
        <f ca="1">'res bld calcs'!G41-R50</f>
        <v>7051</v>
      </c>
      <c r="Y50" s="128">
        <f t="shared" ref="Y50:Z50" ca="1" si="112">$X50*V50</f>
        <v>9734.3815070904384</v>
      </c>
      <c r="Z50" s="128">
        <f t="shared" ca="1" si="112"/>
        <v>0</v>
      </c>
    </row>
    <row r="51" spans="13:26" ht="13.2">
      <c r="M51" s="20" t="s">
        <v>9</v>
      </c>
      <c r="N51" s="20" t="s">
        <v>371</v>
      </c>
      <c r="O51" s="20" t="s">
        <v>376</v>
      </c>
      <c r="P51" s="46">
        <f t="shared" ref="P51:Q51" ca="1" si="113">(1-$C$5)*V51</f>
        <v>3.5714676893688013</v>
      </c>
      <c r="Q51" s="46">
        <f t="shared" ca="1" si="113"/>
        <v>0</v>
      </c>
      <c r="R51" s="21">
        <f t="shared" si="3"/>
        <v>0</v>
      </c>
      <c r="S51" s="128">
        <f t="shared" ref="S51:T51" ca="1" si="114">$R51*P51</f>
        <v>0</v>
      </c>
      <c r="T51" s="128">
        <f t="shared" ca="1" si="114"/>
        <v>0</v>
      </c>
      <c r="V51" s="75">
        <f ca="1"/>
        <v>3.5714676893688013</v>
      </c>
      <c r="W51" s="75">
        <f ca="1"/>
        <v>0</v>
      </c>
      <c r="X51" s="21">
        <f ca="1">'res bld calcs'!G42-R51</f>
        <v>7051</v>
      </c>
      <c r="Y51" s="128">
        <f t="shared" ref="Y51:Z51" ca="1" si="115">$X51*V51</f>
        <v>25182.418677739417</v>
      </c>
      <c r="Z51" s="128">
        <f t="shared" ca="1" si="115"/>
        <v>0</v>
      </c>
    </row>
    <row r="52" spans="13:26" ht="13.2">
      <c r="M52" s="20" t="s">
        <v>9</v>
      </c>
      <c r="N52" s="20" t="s">
        <v>371</v>
      </c>
      <c r="O52" s="20" t="s">
        <v>377</v>
      </c>
      <c r="P52" s="46">
        <f ca="1">IF($C$6="Yes",((1-$C$4)*W52/$F$4)+V52,(1-$C$4)*V52)</f>
        <v>23.996255952562308</v>
      </c>
      <c r="Q52" s="46">
        <f>IF($C$6="Yes",0,(1-$C$4)*W52)</f>
        <v>0</v>
      </c>
      <c r="R52" s="21">
        <f t="shared" si="3"/>
        <v>0</v>
      </c>
      <c r="S52" s="128">
        <f t="shared" ref="S52:T52" ca="1" si="116">$R52*P52</f>
        <v>0</v>
      </c>
      <c r="T52" s="128">
        <f t="shared" si="116"/>
        <v>0</v>
      </c>
      <c r="V52" s="75">
        <f ca="1"/>
        <v>19.255501213432055</v>
      </c>
      <c r="W52" s="75">
        <f ca="1"/>
        <v>28.444528434781528</v>
      </c>
      <c r="X52" s="21">
        <f ca="1">'res bld calcs'!G43-R52</f>
        <v>7051</v>
      </c>
      <c r="Y52" s="128">
        <f t="shared" ref="Y52:Z52" ca="1" si="117">$X52*V52</f>
        <v>135770.53905590941</v>
      </c>
      <c r="Z52" s="128">
        <f t="shared" ca="1" si="117"/>
        <v>200562.36999364456</v>
      </c>
    </row>
    <row r="53" spans="13:26" ht="13.2">
      <c r="M53" s="20" t="s">
        <v>9</v>
      </c>
      <c r="N53" s="20" t="s">
        <v>371</v>
      </c>
      <c r="O53" s="20" t="s">
        <v>378</v>
      </c>
      <c r="P53" s="46">
        <f ca="1">IF($C$7="Yes",((1-$C$5)*W53/$F$4)+V53,(1-$C$5)*V53)</f>
        <v>7.2237282571384487</v>
      </c>
      <c r="Q53" s="46">
        <f>IF($C$7="Yes",0,(1-$C$5)*W53)</f>
        <v>0</v>
      </c>
      <c r="R53" s="21">
        <f t="shared" si="3"/>
        <v>0</v>
      </c>
      <c r="S53" s="128">
        <f t="shared" ref="S53:T53" ca="1" si="118">$R53*P53</f>
        <v>0</v>
      </c>
      <c r="T53" s="128">
        <f t="shared" si="118"/>
        <v>0</v>
      </c>
      <c r="V53" s="75">
        <f ca="1"/>
        <v>3.8888418209805846</v>
      </c>
      <c r="W53" s="75">
        <f ca="1"/>
        <v>10.004659308473592</v>
      </c>
      <c r="X53" s="21">
        <f ca="1">'res bld calcs'!G44-R53</f>
        <v>7051</v>
      </c>
      <c r="Y53" s="128">
        <f t="shared" ref="Y53:Z53" ca="1" si="119">$X53*V53</f>
        <v>27420.223679734103</v>
      </c>
      <c r="Z53" s="128">
        <f t="shared" ca="1" si="119"/>
        <v>70542.852784047296</v>
      </c>
    </row>
    <row r="54" spans="13:26" ht="13.2">
      <c r="M54" s="20" t="s">
        <v>9</v>
      </c>
      <c r="N54" s="20" t="s">
        <v>373</v>
      </c>
      <c r="O54" s="20" t="s">
        <v>369</v>
      </c>
      <c r="P54" s="46">
        <f t="shared" ref="P54:Q54" ca="1" si="120">(1-$C$5)*V54</f>
        <v>5.5422466823008323</v>
      </c>
      <c r="Q54" s="46">
        <f t="shared" ca="1" si="120"/>
        <v>0</v>
      </c>
      <c r="R54" s="21">
        <f t="shared" si="3"/>
        <v>0</v>
      </c>
      <c r="S54" s="128">
        <f t="shared" ref="S54:T54" ca="1" si="121">$R54*P54</f>
        <v>0</v>
      </c>
      <c r="T54" s="128">
        <f t="shared" ca="1" si="121"/>
        <v>0</v>
      </c>
      <c r="V54" s="75">
        <f ca="1"/>
        <v>5.5422466823008323</v>
      </c>
      <c r="W54" s="75">
        <f ca="1"/>
        <v>0</v>
      </c>
      <c r="X54" s="21">
        <f ca="1">'res bld calcs'!G45-R54</f>
        <v>1763</v>
      </c>
      <c r="Y54" s="128">
        <f t="shared" ref="Y54:Z54" ca="1" si="122">$X54*V54</f>
        <v>9770.9809008963675</v>
      </c>
      <c r="Z54" s="128">
        <f t="shared" ca="1" si="122"/>
        <v>0</v>
      </c>
    </row>
    <row r="55" spans="13:26" ht="13.2">
      <c r="M55" s="20" t="s">
        <v>9</v>
      </c>
      <c r="N55" s="20" t="s">
        <v>373</v>
      </c>
      <c r="O55" s="20" t="s">
        <v>372</v>
      </c>
      <c r="P55" s="46">
        <f t="shared" ref="P55:Q55" ca="1" si="123">(1-$C$5)*V55</f>
        <v>6.5934000172430185</v>
      </c>
      <c r="Q55" s="46">
        <f t="shared" ca="1" si="123"/>
        <v>0.67049298070882069</v>
      </c>
      <c r="R55" s="21">
        <f t="shared" si="3"/>
        <v>0</v>
      </c>
      <c r="S55" s="128">
        <f t="shared" ref="S55:T55" ca="1" si="124">$R55*P55</f>
        <v>0</v>
      </c>
      <c r="T55" s="128">
        <f t="shared" ca="1" si="124"/>
        <v>0</v>
      </c>
      <c r="V55" s="75">
        <f ca="1"/>
        <v>6.5934000172430185</v>
      </c>
      <c r="W55" s="75">
        <f ca="1"/>
        <v>0.67049298070882069</v>
      </c>
      <c r="X55" s="21">
        <f ca="1">'res bld calcs'!G46-R55</f>
        <v>1763</v>
      </c>
      <c r="Y55" s="128">
        <f t="shared" ref="Y55:Z55" ca="1" si="125">$X55*V55</f>
        <v>11624.164230399441</v>
      </c>
      <c r="Z55" s="128">
        <f t="shared" ca="1" si="125"/>
        <v>1182.0791249896508</v>
      </c>
    </row>
    <row r="56" spans="13:26" ht="13.2">
      <c r="M56" s="20" t="s">
        <v>9</v>
      </c>
      <c r="N56" s="20" t="s">
        <v>373</v>
      </c>
      <c r="O56" s="20" t="s">
        <v>374</v>
      </c>
      <c r="P56" s="46">
        <f t="shared" ref="P56:Q56" ca="1" si="126">(1-$C$5)*V56</f>
        <v>10.774129485503751</v>
      </c>
      <c r="Q56" s="46">
        <f t="shared" ca="1" si="126"/>
        <v>0</v>
      </c>
      <c r="R56" s="21">
        <f t="shared" si="3"/>
        <v>0</v>
      </c>
      <c r="S56" s="128">
        <f t="shared" ref="S56:T56" ca="1" si="127">$R56*P56</f>
        <v>0</v>
      </c>
      <c r="T56" s="128">
        <f t="shared" ca="1" si="127"/>
        <v>0</v>
      </c>
      <c r="V56" s="75">
        <f ca="1"/>
        <v>10.774129485503751</v>
      </c>
      <c r="W56" s="75">
        <f ca="1"/>
        <v>0</v>
      </c>
      <c r="X56" s="21">
        <f ca="1">'res bld calcs'!G47-R56</f>
        <v>1763</v>
      </c>
      <c r="Y56" s="128">
        <f t="shared" ref="Y56:Z56" ca="1" si="128">$X56*V56</f>
        <v>18994.790282943115</v>
      </c>
      <c r="Z56" s="128">
        <f t="shared" ca="1" si="128"/>
        <v>0</v>
      </c>
    </row>
    <row r="57" spans="13:26" ht="13.2">
      <c r="M57" s="20" t="s">
        <v>9</v>
      </c>
      <c r="N57" s="20" t="s">
        <v>373</v>
      </c>
      <c r="O57" s="20" t="s">
        <v>375</v>
      </c>
      <c r="P57" s="46">
        <f t="shared" ref="P57:Q57" ca="1" si="129">(1-$C$5)*V57</f>
        <v>2.5899803198814308</v>
      </c>
      <c r="Q57" s="46">
        <f t="shared" ca="1" si="129"/>
        <v>0</v>
      </c>
      <c r="R57" s="21">
        <f t="shared" si="3"/>
        <v>0</v>
      </c>
      <c r="S57" s="128">
        <f t="shared" ref="S57:T57" ca="1" si="130">$R57*P57</f>
        <v>0</v>
      </c>
      <c r="T57" s="128">
        <f t="shared" ca="1" si="130"/>
        <v>0</v>
      </c>
      <c r="V57" s="75">
        <f ca="1"/>
        <v>2.5899803198814308</v>
      </c>
      <c r="W57" s="75">
        <f ca="1"/>
        <v>0</v>
      </c>
      <c r="X57" s="21">
        <f ca="1">'res bld calcs'!G48-R57</f>
        <v>1763</v>
      </c>
      <c r="Y57" s="128">
        <f t="shared" ref="Y57:Z57" ca="1" si="131">$X57*V57</f>
        <v>4566.1353039509622</v>
      </c>
      <c r="Z57" s="128">
        <f t="shared" ca="1" si="131"/>
        <v>0</v>
      </c>
    </row>
    <row r="58" spans="13:26" ht="13.2">
      <c r="M58" s="20" t="s">
        <v>9</v>
      </c>
      <c r="N58" s="20" t="s">
        <v>373</v>
      </c>
      <c r="O58" s="20" t="s">
        <v>376</v>
      </c>
      <c r="P58" s="46">
        <f t="shared" ref="P58:Q58" ca="1" si="132">(1-$C$5)*V58</f>
        <v>5.2891703523037137</v>
      </c>
      <c r="Q58" s="46">
        <f t="shared" ca="1" si="132"/>
        <v>0</v>
      </c>
      <c r="R58" s="21">
        <f t="shared" si="3"/>
        <v>0</v>
      </c>
      <c r="S58" s="128">
        <f t="shared" ref="S58:T58" ca="1" si="133">$R58*P58</f>
        <v>0</v>
      </c>
      <c r="T58" s="128">
        <f t="shared" ca="1" si="133"/>
        <v>0</v>
      </c>
      <c r="V58" s="75">
        <f ca="1"/>
        <v>5.2891703523037137</v>
      </c>
      <c r="W58" s="75">
        <f ca="1"/>
        <v>0</v>
      </c>
      <c r="X58" s="21">
        <f ca="1">'res bld calcs'!G49-R58</f>
        <v>1763</v>
      </c>
      <c r="Y58" s="128">
        <f t="shared" ref="Y58:Z58" ca="1" si="134">$X58*V58</f>
        <v>9324.8073311114476</v>
      </c>
      <c r="Z58" s="128">
        <f t="shared" ca="1" si="134"/>
        <v>0</v>
      </c>
    </row>
    <row r="59" spans="13:26" ht="13.2">
      <c r="M59" s="20" t="s">
        <v>9</v>
      </c>
      <c r="N59" s="20" t="s">
        <v>373</v>
      </c>
      <c r="O59" s="20" t="s">
        <v>377</v>
      </c>
      <c r="P59" s="46">
        <f ca="1">IF($C$6="Yes",((1-$C$4)*W59/$F$4)+V59,(1-$C$4)*V59)</f>
        <v>12.437346157565742</v>
      </c>
      <c r="Q59" s="46">
        <f>IF($C$6="Yes",0,(1-$C$4)*W59)</f>
        <v>0</v>
      </c>
      <c r="R59" s="21">
        <f t="shared" si="3"/>
        <v>0</v>
      </c>
      <c r="S59" s="128">
        <f t="shared" ref="S59:T59" ca="1" si="135">$R59*P59</f>
        <v>0</v>
      </c>
      <c r="T59" s="128">
        <f t="shared" si="135"/>
        <v>0</v>
      </c>
      <c r="V59" s="75">
        <f ca="1"/>
        <v>7.295024573921455</v>
      </c>
      <c r="W59" s="75">
        <f ca="1"/>
        <v>30.853929501865721</v>
      </c>
      <c r="X59" s="21">
        <f ca="1">'res bld calcs'!G50-R59</f>
        <v>1763</v>
      </c>
      <c r="Y59" s="128">
        <f t="shared" ref="Y59:Z59" ca="1" si="136">$X59*V59</f>
        <v>12861.128323823525</v>
      </c>
      <c r="Z59" s="128">
        <f t="shared" ca="1" si="136"/>
        <v>54395.477711789266</v>
      </c>
    </row>
    <row r="60" spans="13:26" ht="13.2">
      <c r="M60" s="20" t="s">
        <v>9</v>
      </c>
      <c r="N60" s="20" t="s">
        <v>373</v>
      </c>
      <c r="O60" s="20" t="s">
        <v>378</v>
      </c>
      <c r="P60" s="46">
        <f ca="1">IF($C$7="Yes",((1-$C$5)*W60/$F$4)+V60,(1-$C$5)*V60)</f>
        <v>3.7258654363539958</v>
      </c>
      <c r="Q60" s="46">
        <f>IF($C$7="Yes",0,(1-$C$5)*W60)</f>
        <v>0</v>
      </c>
      <c r="R60" s="21">
        <f t="shared" si="3"/>
        <v>0</v>
      </c>
      <c r="S60" s="128">
        <f t="shared" ref="S60:T60" ca="1" si="137">$R60*P60</f>
        <v>0</v>
      </c>
      <c r="T60" s="128">
        <f t="shared" si="137"/>
        <v>0</v>
      </c>
      <c r="V60" s="75">
        <f ca="1"/>
        <v>1.1601512076185401</v>
      </c>
      <c r="W60" s="75">
        <f ca="1"/>
        <v>7.6971426862063677</v>
      </c>
      <c r="X60" s="21">
        <f ca="1">'res bld calcs'!G51-R60</f>
        <v>1763</v>
      </c>
      <c r="Y60" s="128">
        <f t="shared" ref="Y60:Z60" ca="1" si="138">$X60*V60</f>
        <v>2045.346579031486</v>
      </c>
      <c r="Z60" s="128">
        <f t="shared" ca="1" si="138"/>
        <v>13570.062555781826</v>
      </c>
    </row>
    <row r="61" spans="13:26" ht="13.2">
      <c r="M61" s="20" t="s">
        <v>9</v>
      </c>
      <c r="N61" s="20" t="s">
        <v>370</v>
      </c>
      <c r="O61" s="20" t="s">
        <v>369</v>
      </c>
      <c r="P61" s="46">
        <f t="shared" ref="P61:Q61" ca="1" si="139">(1-$C$5)*V61</f>
        <v>3.5212057845319871</v>
      </c>
      <c r="Q61" s="46">
        <f t="shared" ca="1" si="139"/>
        <v>1.1040196696691932E-2</v>
      </c>
      <c r="R61" s="21">
        <f t="shared" si="3"/>
        <v>0</v>
      </c>
      <c r="S61" s="128">
        <f t="shared" ref="S61:T61" ca="1" si="140">$R61*P61</f>
        <v>0</v>
      </c>
      <c r="T61" s="128">
        <f t="shared" ca="1" si="140"/>
        <v>0</v>
      </c>
      <c r="V61" s="75">
        <f ca="1"/>
        <v>3.5212057845319871</v>
      </c>
      <c r="W61" s="75">
        <f ca="1"/>
        <v>1.1040196696691932E-2</v>
      </c>
      <c r="X61" s="21">
        <f ca="1">'res bld calcs'!G52-R61</f>
        <v>36903</v>
      </c>
      <c r="Y61" s="128">
        <f t="shared" ref="Y61:Z61" ca="1" si="141">$X61*V61</f>
        <v>129943.05706658392</v>
      </c>
      <c r="Z61" s="128">
        <f t="shared" ca="1" si="141"/>
        <v>407.41637869802236</v>
      </c>
    </row>
    <row r="62" spans="13:26" ht="13.2">
      <c r="M62" s="20" t="s">
        <v>9</v>
      </c>
      <c r="N62" s="20" t="s">
        <v>370</v>
      </c>
      <c r="O62" s="20" t="s">
        <v>372</v>
      </c>
      <c r="P62" s="46">
        <f t="shared" ref="P62:Q62" ca="1" si="142">(1-$C$5)*V62</f>
        <v>5.8767861815302194</v>
      </c>
      <c r="Q62" s="46">
        <f t="shared" ca="1" si="142"/>
        <v>0.98310711088355007</v>
      </c>
      <c r="R62" s="21">
        <f t="shared" si="3"/>
        <v>0</v>
      </c>
      <c r="S62" s="128">
        <f t="shared" ref="S62:T62" ca="1" si="143">$R62*P62</f>
        <v>0</v>
      </c>
      <c r="T62" s="128">
        <f t="shared" ca="1" si="143"/>
        <v>0</v>
      </c>
      <c r="V62" s="75">
        <f ca="1"/>
        <v>5.8767861815302194</v>
      </c>
      <c r="W62" s="75">
        <f ca="1"/>
        <v>0.98310711088355007</v>
      </c>
      <c r="X62" s="21">
        <f ca="1">'res bld calcs'!G53-R62</f>
        <v>36903</v>
      </c>
      <c r="Y62" s="128">
        <f t="shared" ref="Y62:Z62" ca="1" si="144">$X62*V62</f>
        <v>216871.04045700969</v>
      </c>
      <c r="Z62" s="128">
        <f t="shared" ca="1" si="144"/>
        <v>36279.601712935648</v>
      </c>
    </row>
    <row r="63" spans="13:26" ht="13.2">
      <c r="M63" s="20" t="s">
        <v>9</v>
      </c>
      <c r="N63" s="20" t="s">
        <v>370</v>
      </c>
      <c r="O63" s="20" t="s">
        <v>374</v>
      </c>
      <c r="P63" s="46">
        <f t="shared" ref="P63:Q63" ca="1" si="145">(1-$C$5)*V63</f>
        <v>6.5220004446697422</v>
      </c>
      <c r="Q63" s="46">
        <f t="shared" ca="1" si="145"/>
        <v>0</v>
      </c>
      <c r="R63" s="21">
        <f t="shared" si="3"/>
        <v>0</v>
      </c>
      <c r="S63" s="128">
        <f t="shared" ref="S63:T63" ca="1" si="146">$R63*P63</f>
        <v>0</v>
      </c>
      <c r="T63" s="128">
        <f t="shared" ca="1" si="146"/>
        <v>0</v>
      </c>
      <c r="V63" s="75">
        <f ca="1"/>
        <v>6.5220004446697422</v>
      </c>
      <c r="W63" s="75">
        <f ca="1"/>
        <v>0</v>
      </c>
      <c r="X63" s="21">
        <f ca="1">'res bld calcs'!G54-R63</f>
        <v>36903</v>
      </c>
      <c r="Y63" s="128">
        <f t="shared" ref="Y63:Z63" ca="1" si="147">$X63*V63</f>
        <v>240681.38240964749</v>
      </c>
      <c r="Z63" s="128">
        <f t="shared" ca="1" si="147"/>
        <v>0</v>
      </c>
    </row>
    <row r="64" spans="13:26" ht="13.2">
      <c r="M64" s="20" t="s">
        <v>9</v>
      </c>
      <c r="N64" s="20" t="s">
        <v>370</v>
      </c>
      <c r="O64" s="20" t="s">
        <v>375</v>
      </c>
      <c r="P64" s="46">
        <f t="shared" ref="P64:Q64" ca="1" si="148">(1-$C$5)*V64</f>
        <v>2.3115765377707342</v>
      </c>
      <c r="Q64" s="46">
        <f t="shared" ca="1" si="148"/>
        <v>0</v>
      </c>
      <c r="R64" s="21">
        <f t="shared" si="3"/>
        <v>0</v>
      </c>
      <c r="S64" s="128">
        <f t="shared" ref="S64:T64" ca="1" si="149">$R64*P64</f>
        <v>0</v>
      </c>
      <c r="T64" s="128">
        <f t="shared" ca="1" si="149"/>
        <v>0</v>
      </c>
      <c r="V64" s="75">
        <f ca="1"/>
        <v>2.3115765377707342</v>
      </c>
      <c r="W64" s="75">
        <f ca="1"/>
        <v>0</v>
      </c>
      <c r="X64" s="21">
        <f ca="1">'res bld calcs'!G55-R64</f>
        <v>36903</v>
      </c>
      <c r="Y64" s="128">
        <f t="shared" ref="Y64:Z64" ca="1" si="150">$X64*V64</f>
        <v>85304.108973353403</v>
      </c>
      <c r="Z64" s="128">
        <f t="shared" ca="1" si="150"/>
        <v>0</v>
      </c>
    </row>
    <row r="65" spans="13:26" ht="13.2">
      <c r="M65" s="20" t="s">
        <v>9</v>
      </c>
      <c r="N65" s="20" t="s">
        <v>370</v>
      </c>
      <c r="O65" s="20" t="s">
        <v>376</v>
      </c>
      <c r="P65" s="46">
        <f t="shared" ref="P65:Q65" ca="1" si="151">(1-$C$5)*V65</f>
        <v>4.3160726271486727</v>
      </c>
      <c r="Q65" s="46">
        <f t="shared" ca="1" si="151"/>
        <v>0</v>
      </c>
      <c r="R65" s="21">
        <f t="shared" si="3"/>
        <v>0</v>
      </c>
      <c r="S65" s="128">
        <f t="shared" ref="S65:T65" ca="1" si="152">$R65*P65</f>
        <v>0</v>
      </c>
      <c r="T65" s="128">
        <f t="shared" ca="1" si="152"/>
        <v>0</v>
      </c>
      <c r="V65" s="75">
        <f ca="1"/>
        <v>4.3160726271486727</v>
      </c>
      <c r="W65" s="75">
        <f ca="1"/>
        <v>0</v>
      </c>
      <c r="X65" s="21">
        <f ca="1">'res bld calcs'!G56-R65</f>
        <v>36903</v>
      </c>
      <c r="Y65" s="128">
        <f t="shared" ref="Y65:Z65" ca="1" si="153">$X65*V65</f>
        <v>159276.02815966748</v>
      </c>
      <c r="Z65" s="128">
        <f t="shared" ca="1" si="153"/>
        <v>0</v>
      </c>
    </row>
    <row r="66" spans="13:26" ht="13.2">
      <c r="M66" s="20" t="s">
        <v>9</v>
      </c>
      <c r="N66" s="20" t="s">
        <v>370</v>
      </c>
      <c r="O66" s="20" t="s">
        <v>377</v>
      </c>
      <c r="P66" s="46">
        <f ca="1">IF($C$6="Yes",((1-$C$4)*W66/$F$4)+V66,(1-$C$4)*V66)</f>
        <v>19.285145331606873</v>
      </c>
      <c r="Q66" s="46">
        <f>IF($C$6="Yes",0,(1-$C$4)*W66)</f>
        <v>0</v>
      </c>
      <c r="R66" s="21">
        <f t="shared" si="3"/>
        <v>0</v>
      </c>
      <c r="S66" s="128">
        <f t="shared" ref="S66:T66" ca="1" si="154">$R66*P66</f>
        <v>0</v>
      </c>
      <c r="T66" s="128">
        <f t="shared" si="154"/>
        <v>0</v>
      </c>
      <c r="V66" s="75">
        <f ca="1"/>
        <v>13.745483952486024</v>
      </c>
      <c r="W66" s="75">
        <f ca="1"/>
        <v>33.237968274725098</v>
      </c>
      <c r="X66" s="21">
        <f ca="1">'res bld calcs'!G57-R66</f>
        <v>36903</v>
      </c>
      <c r="Y66" s="128">
        <f t="shared" ref="Y66:Z66" ca="1" si="155">$X66*V66</f>
        <v>507249.59429859178</v>
      </c>
      <c r="Z66" s="128">
        <f t="shared" ca="1" si="155"/>
        <v>1226580.7432421802</v>
      </c>
    </row>
    <row r="67" spans="13:26" ht="13.2">
      <c r="M67" s="20" t="s">
        <v>9</v>
      </c>
      <c r="N67" s="20" t="s">
        <v>370</v>
      </c>
      <c r="O67" s="20" t="s">
        <v>378</v>
      </c>
      <c r="P67" s="46">
        <f ca="1">IF($C$7="Yes",((1-$C$5)*W67/$F$4)+V67,(1-$C$5)*V67)</f>
        <v>4.6141269727938763</v>
      </c>
      <c r="Q67" s="46">
        <f>IF($C$7="Yes",0,(1-$C$5)*W67)</f>
        <v>0</v>
      </c>
      <c r="R67" s="21">
        <f t="shared" si="3"/>
        <v>0</v>
      </c>
      <c r="S67" s="128">
        <f t="shared" ref="S67:T67" ca="1" si="156">$R67*P67</f>
        <v>0</v>
      </c>
      <c r="T67" s="128">
        <f t="shared" si="156"/>
        <v>0</v>
      </c>
      <c r="V67" s="75">
        <f ca="1"/>
        <v>2.9509771106353511</v>
      </c>
      <c r="W67" s="75">
        <f ca="1"/>
        <v>4.9894495864755752</v>
      </c>
      <c r="X67" s="21">
        <f ca="1">'res bld calcs'!G58-R67</f>
        <v>36903</v>
      </c>
      <c r="Y67" s="128">
        <f t="shared" ref="Y67:Z67" ca="1" si="157">$X67*V67</f>
        <v>108899.90831377637</v>
      </c>
      <c r="Z67" s="128">
        <f t="shared" ca="1" si="157"/>
        <v>184125.65808970816</v>
      </c>
    </row>
    <row r="68" spans="13:26" ht="13.2">
      <c r="M68" s="20" t="s">
        <v>10</v>
      </c>
      <c r="N68" s="20" t="s">
        <v>366</v>
      </c>
      <c r="O68" s="20" t="s">
        <v>369</v>
      </c>
      <c r="P68" s="46">
        <f t="shared" ref="P68:Q68" ca="1" si="158">(1-$C$5)*V68</f>
        <v>1.9954441974219896</v>
      </c>
      <c r="Q68" s="46">
        <f t="shared" ca="1" si="158"/>
        <v>0</v>
      </c>
      <c r="R68" s="21">
        <f t="shared" si="3"/>
        <v>0</v>
      </c>
      <c r="S68" s="128">
        <f t="shared" ref="S68:T68" ca="1" si="159">$R68*P68</f>
        <v>0</v>
      </c>
      <c r="T68" s="128">
        <f t="shared" ca="1" si="159"/>
        <v>0</v>
      </c>
      <c r="V68" s="75">
        <f ca="1"/>
        <v>1.9954441974219896</v>
      </c>
      <c r="W68" s="75">
        <f ca="1"/>
        <v>0</v>
      </c>
      <c r="X68" s="21">
        <f ca="1">'res bld calcs'!G59-R68</f>
        <v>3530</v>
      </c>
      <c r="Y68" s="128">
        <f t="shared" ref="Y68:Z68" ca="1" si="160">$X68*V68</f>
        <v>7043.9180168996236</v>
      </c>
      <c r="Z68" s="128">
        <f t="shared" ca="1" si="160"/>
        <v>0</v>
      </c>
    </row>
    <row r="69" spans="13:26" ht="13.2">
      <c r="M69" s="20" t="s">
        <v>10</v>
      </c>
      <c r="N69" s="20" t="s">
        <v>366</v>
      </c>
      <c r="O69" s="20" t="s">
        <v>372</v>
      </c>
      <c r="P69" s="46">
        <f t="shared" ref="P69:Q69" ca="1" si="161">(1-$C$5)*V69</f>
        <v>3.890178230645247</v>
      </c>
      <c r="Q69" s="46">
        <f t="shared" ca="1" si="161"/>
        <v>0.61155041500401652</v>
      </c>
      <c r="R69" s="21">
        <f t="shared" si="3"/>
        <v>0</v>
      </c>
      <c r="S69" s="128">
        <f t="shared" ref="S69:T69" ca="1" si="162">$R69*P69</f>
        <v>0</v>
      </c>
      <c r="T69" s="128">
        <f t="shared" ca="1" si="162"/>
        <v>0</v>
      </c>
      <c r="V69" s="75">
        <f ca="1"/>
        <v>3.890178230645247</v>
      </c>
      <c r="W69" s="75">
        <f ca="1"/>
        <v>0.61155041500401652</v>
      </c>
      <c r="X69" s="21">
        <f ca="1">'res bld calcs'!G60-R69</f>
        <v>3530</v>
      </c>
      <c r="Y69" s="128">
        <f t="shared" ref="Y69:Z69" ca="1" si="163">$X69*V69</f>
        <v>13732.329154177722</v>
      </c>
      <c r="Z69" s="128">
        <f t="shared" ca="1" si="163"/>
        <v>2158.7729649641783</v>
      </c>
    </row>
    <row r="70" spans="13:26" ht="13.2">
      <c r="M70" s="20" t="s">
        <v>10</v>
      </c>
      <c r="N70" s="20" t="s">
        <v>366</v>
      </c>
      <c r="O70" s="20" t="s">
        <v>374</v>
      </c>
      <c r="P70" s="46">
        <f t="shared" ref="P70:Q70" ca="1" si="164">(1-$C$5)*V70</f>
        <v>6.0747588837814321</v>
      </c>
      <c r="Q70" s="46">
        <f t="shared" ca="1" si="164"/>
        <v>0</v>
      </c>
      <c r="R70" s="21">
        <f t="shared" si="3"/>
        <v>0</v>
      </c>
      <c r="S70" s="128">
        <f t="shared" ref="S70:T70" ca="1" si="165">$R70*P70</f>
        <v>0</v>
      </c>
      <c r="T70" s="128">
        <f t="shared" ca="1" si="165"/>
        <v>0</v>
      </c>
      <c r="V70" s="75">
        <f ca="1"/>
        <v>6.0747588837814321</v>
      </c>
      <c r="W70" s="75">
        <f ca="1"/>
        <v>0</v>
      </c>
      <c r="X70" s="21">
        <f ca="1">'res bld calcs'!G61-R70</f>
        <v>3530</v>
      </c>
      <c r="Y70" s="128">
        <f t="shared" ref="Y70:Z70" ca="1" si="166">$X70*V70</f>
        <v>21443.898859748457</v>
      </c>
      <c r="Z70" s="128">
        <f t="shared" ca="1" si="166"/>
        <v>0</v>
      </c>
    </row>
    <row r="71" spans="13:26" ht="13.2">
      <c r="M71" s="20" t="s">
        <v>10</v>
      </c>
      <c r="N71" s="20" t="s">
        <v>366</v>
      </c>
      <c r="O71" s="20" t="s">
        <v>375</v>
      </c>
      <c r="P71" s="46">
        <f t="shared" ref="P71:Q71" ca="1" si="167">(1-$C$5)*V71</f>
        <v>2.368526154388229</v>
      </c>
      <c r="Q71" s="46">
        <f t="shared" ca="1" si="167"/>
        <v>0</v>
      </c>
      <c r="R71" s="21">
        <f t="shared" si="3"/>
        <v>0</v>
      </c>
      <c r="S71" s="128">
        <f t="shared" ref="S71:T71" ca="1" si="168">$R71*P71</f>
        <v>0</v>
      </c>
      <c r="T71" s="128">
        <f t="shared" ca="1" si="168"/>
        <v>0</v>
      </c>
      <c r="V71" s="75">
        <f ca="1"/>
        <v>2.368526154388229</v>
      </c>
      <c r="W71" s="75">
        <f ca="1"/>
        <v>0</v>
      </c>
      <c r="X71" s="21">
        <f ca="1">'res bld calcs'!G62-R71</f>
        <v>3530</v>
      </c>
      <c r="Y71" s="128">
        <f t="shared" ref="Y71:Z71" ca="1" si="169">$X71*V71</f>
        <v>8360.8973249904484</v>
      </c>
      <c r="Z71" s="128">
        <f t="shared" ca="1" si="169"/>
        <v>0</v>
      </c>
    </row>
    <row r="72" spans="13:26" ht="13.2">
      <c r="M72" s="20" t="s">
        <v>10</v>
      </c>
      <c r="N72" s="20" t="s">
        <v>366</v>
      </c>
      <c r="O72" s="20" t="s">
        <v>376</v>
      </c>
      <c r="P72" s="46">
        <f t="shared" ref="P72:Q72" ca="1" si="170">(1-$C$5)*V72</f>
        <v>4.353286492760744</v>
      </c>
      <c r="Q72" s="46">
        <f t="shared" ca="1" si="170"/>
        <v>0</v>
      </c>
      <c r="R72" s="21">
        <f t="shared" si="3"/>
        <v>0</v>
      </c>
      <c r="S72" s="128">
        <f t="shared" ref="S72:T72" ca="1" si="171">$R72*P72</f>
        <v>0</v>
      </c>
      <c r="T72" s="128">
        <f t="shared" ca="1" si="171"/>
        <v>0</v>
      </c>
      <c r="V72" s="75">
        <f ca="1"/>
        <v>4.353286492760744</v>
      </c>
      <c r="W72" s="75">
        <f ca="1"/>
        <v>0</v>
      </c>
      <c r="X72" s="21">
        <f ca="1">'res bld calcs'!G63-R72</f>
        <v>3530</v>
      </c>
      <c r="Y72" s="128">
        <f t="shared" ref="Y72:Z72" ca="1" si="172">$X72*V72</f>
        <v>15367.101319445426</v>
      </c>
      <c r="Z72" s="128">
        <f t="shared" ca="1" si="172"/>
        <v>0</v>
      </c>
    </row>
    <row r="73" spans="13:26" ht="13.2">
      <c r="M73" s="20" t="s">
        <v>10</v>
      </c>
      <c r="N73" s="20" t="s">
        <v>366</v>
      </c>
      <c r="O73" s="20" t="s">
        <v>377</v>
      </c>
      <c r="P73" s="46">
        <f ca="1">IF($C$6="Yes",((1-$C$4)*W73/$F$4)+V73,(1-$C$4)*V73)</f>
        <v>21.388614424263327</v>
      </c>
      <c r="Q73" s="46">
        <f>IF($C$6="Yes",0,(1-$C$4)*W73)</f>
        <v>0</v>
      </c>
      <c r="R73" s="21">
        <f t="shared" si="3"/>
        <v>0</v>
      </c>
      <c r="S73" s="128">
        <f t="shared" ref="S73:T73" ca="1" si="173">$R73*P73</f>
        <v>0</v>
      </c>
      <c r="T73" s="128">
        <f t="shared" si="173"/>
        <v>0</v>
      </c>
      <c r="V73" s="75">
        <f ca="1"/>
        <v>14.192095270702691</v>
      </c>
      <c r="W73" s="75">
        <f ca="1"/>
        <v>43.179114921363826</v>
      </c>
      <c r="X73" s="21">
        <f ca="1">'res bld calcs'!G64-R73</f>
        <v>3530</v>
      </c>
      <c r="Y73" s="128">
        <f t="shared" ref="Y73:Z73" ca="1" si="174">$X73*V73</f>
        <v>50098.096305580497</v>
      </c>
      <c r="Z73" s="128">
        <f t="shared" ca="1" si="174"/>
        <v>152422.27567241431</v>
      </c>
    </row>
    <row r="74" spans="13:26" ht="13.2">
      <c r="M74" s="20" t="s">
        <v>10</v>
      </c>
      <c r="N74" s="20" t="s">
        <v>366</v>
      </c>
      <c r="O74" s="20" t="s">
        <v>378</v>
      </c>
      <c r="P74" s="46">
        <f ca="1">IF($C$7="Yes",((1-$C$5)*W74/$F$4)+V74,(1-$C$5)*V74)</f>
        <v>4.6657660446104483</v>
      </c>
      <c r="Q74" s="46">
        <f>IF($C$7="Yes",0,(1-$C$5)*W74)</f>
        <v>0</v>
      </c>
      <c r="R74" s="21">
        <f t="shared" si="3"/>
        <v>0</v>
      </c>
      <c r="S74" s="128">
        <f t="shared" ref="S74:T74" ca="1" si="175">$R74*P74</f>
        <v>0</v>
      </c>
      <c r="T74" s="128">
        <f t="shared" si="175"/>
        <v>0</v>
      </c>
      <c r="V74" s="75">
        <f ca="1"/>
        <v>2.4761572967802787</v>
      </c>
      <c r="W74" s="75">
        <f ca="1"/>
        <v>6.5688262434905091</v>
      </c>
      <c r="X74" s="21">
        <f ca="1">'res bld calcs'!G65-R74</f>
        <v>3530</v>
      </c>
      <c r="Y74" s="128">
        <f t="shared" ref="Y74:Z74" ca="1" si="176">$X74*V74</f>
        <v>8740.8352576343841</v>
      </c>
      <c r="Z74" s="128">
        <f t="shared" ca="1" si="176"/>
        <v>23187.956639521497</v>
      </c>
    </row>
    <row r="75" spans="13:26" ht="13.2">
      <c r="M75" s="20" t="s">
        <v>10</v>
      </c>
      <c r="N75" s="20" t="s">
        <v>371</v>
      </c>
      <c r="O75" s="20" t="s">
        <v>369</v>
      </c>
      <c r="P75" s="46">
        <f t="shared" ref="P75:Q75" ca="1" si="177">(1-$C$5)*V75</f>
        <v>2.9248413009060599</v>
      </c>
      <c r="Q75" s="46">
        <f t="shared" ca="1" si="177"/>
        <v>2.7873940655262393E-2</v>
      </c>
      <c r="R75" s="21">
        <f t="shared" si="3"/>
        <v>0</v>
      </c>
      <c r="S75" s="128">
        <f t="shared" ref="S75:T75" ca="1" si="178">$R75*P75</f>
        <v>0</v>
      </c>
      <c r="T75" s="128">
        <f t="shared" ca="1" si="178"/>
        <v>0</v>
      </c>
      <c r="V75" s="75">
        <f ca="1"/>
        <v>2.9248413009060599</v>
      </c>
      <c r="W75" s="75">
        <f ca="1"/>
        <v>2.7873940655262393E-2</v>
      </c>
      <c r="X75" s="21">
        <f ca="1">'res bld calcs'!G66-R75</f>
        <v>60947</v>
      </c>
      <c r="Y75" s="128">
        <f t="shared" ref="Y75:Z75" ca="1" si="179">$X75*V75</f>
        <v>178260.30276632163</v>
      </c>
      <c r="Z75" s="128">
        <f t="shared" ca="1" si="179"/>
        <v>1698.8330611162771</v>
      </c>
    </row>
    <row r="76" spans="13:26" ht="13.2">
      <c r="M76" s="20" t="s">
        <v>10</v>
      </c>
      <c r="N76" s="20" t="s">
        <v>371</v>
      </c>
      <c r="O76" s="20" t="s">
        <v>372</v>
      </c>
      <c r="P76" s="46">
        <f t="shared" ref="P76:Q76" ca="1" si="180">(1-$C$5)*V76</f>
        <v>3.9795558467037027</v>
      </c>
      <c r="Q76" s="46">
        <f t="shared" ca="1" si="180"/>
        <v>1.0109962256509577</v>
      </c>
      <c r="R76" s="21">
        <f t="shared" si="3"/>
        <v>0</v>
      </c>
      <c r="S76" s="128">
        <f t="shared" ref="S76:T76" ca="1" si="181">$R76*P76</f>
        <v>0</v>
      </c>
      <c r="T76" s="128">
        <f t="shared" ca="1" si="181"/>
        <v>0</v>
      </c>
      <c r="V76" s="75">
        <f ca="1"/>
        <v>3.9795558467037027</v>
      </c>
      <c r="W76" s="75">
        <f ca="1"/>
        <v>1.0109962256509577</v>
      </c>
      <c r="X76" s="21">
        <f ca="1">'res bld calcs'!G67-R76</f>
        <v>60947</v>
      </c>
      <c r="Y76" s="128">
        <f t="shared" ref="Y76:Z76" ca="1" si="182">$X76*V76</f>
        <v>242541.99018905056</v>
      </c>
      <c r="Z76" s="128">
        <f t="shared" ca="1" si="182"/>
        <v>61617.186964748922</v>
      </c>
    </row>
    <row r="77" spans="13:26" ht="13.2">
      <c r="M77" s="20" t="s">
        <v>10</v>
      </c>
      <c r="N77" s="20" t="s">
        <v>371</v>
      </c>
      <c r="O77" s="20" t="s">
        <v>374</v>
      </c>
      <c r="P77" s="46">
        <f t="shared" ref="P77:Q77" ca="1" si="183">(1-$C$5)*V77</f>
        <v>5.2253116140792777</v>
      </c>
      <c r="Q77" s="46">
        <f t="shared" ca="1" si="183"/>
        <v>0</v>
      </c>
      <c r="R77" s="21">
        <f t="shared" si="3"/>
        <v>0</v>
      </c>
      <c r="S77" s="128">
        <f t="shared" ref="S77:T77" ca="1" si="184">$R77*P77</f>
        <v>0</v>
      </c>
      <c r="T77" s="128">
        <f t="shared" ca="1" si="184"/>
        <v>0</v>
      </c>
      <c r="V77" s="75">
        <f ca="1"/>
        <v>5.2253116140792777</v>
      </c>
      <c r="W77" s="75">
        <f ca="1"/>
        <v>0</v>
      </c>
      <c r="X77" s="21">
        <f ca="1">'res bld calcs'!G68-R77</f>
        <v>60947</v>
      </c>
      <c r="Y77" s="128">
        <f t="shared" ref="Y77:Z77" ca="1" si="185">$X77*V77</f>
        <v>318467.06694328971</v>
      </c>
      <c r="Z77" s="128">
        <f t="shared" ca="1" si="185"/>
        <v>0</v>
      </c>
    </row>
    <row r="78" spans="13:26" ht="13.2">
      <c r="M78" s="20" t="s">
        <v>10</v>
      </c>
      <c r="N78" s="20" t="s">
        <v>371</v>
      </c>
      <c r="O78" s="20" t="s">
        <v>375</v>
      </c>
      <c r="P78" s="46">
        <f t="shared" ref="P78:Q78" ca="1" si="186">(1-$C$5)*V78</f>
        <v>1.0708653705056941</v>
      </c>
      <c r="Q78" s="46">
        <f t="shared" ca="1" si="186"/>
        <v>0</v>
      </c>
      <c r="R78" s="21">
        <f t="shared" si="3"/>
        <v>0</v>
      </c>
      <c r="S78" s="128">
        <f t="shared" ref="S78:T78" ca="1" si="187">$R78*P78</f>
        <v>0</v>
      </c>
      <c r="T78" s="128">
        <f t="shared" ca="1" si="187"/>
        <v>0</v>
      </c>
      <c r="V78" s="75">
        <f ca="1"/>
        <v>1.0708653705056941</v>
      </c>
      <c r="W78" s="75">
        <f ca="1"/>
        <v>0</v>
      </c>
      <c r="X78" s="21">
        <f ca="1">'res bld calcs'!G69-R78</f>
        <v>60947</v>
      </c>
      <c r="Y78" s="128">
        <f t="shared" ref="Y78:Z78" ca="1" si="188">$X78*V78</f>
        <v>65266.031736210534</v>
      </c>
      <c r="Z78" s="128">
        <f t="shared" ca="1" si="188"/>
        <v>0</v>
      </c>
    </row>
    <row r="79" spans="13:26" ht="13.2">
      <c r="M79" s="20" t="s">
        <v>10</v>
      </c>
      <c r="N79" s="20" t="s">
        <v>371</v>
      </c>
      <c r="O79" s="20" t="s">
        <v>376</v>
      </c>
      <c r="P79" s="46">
        <f t="shared" ref="P79:Q79" ca="1" si="189">(1-$C$5)*V79</f>
        <v>3.509091427654988</v>
      </c>
      <c r="Q79" s="46">
        <f t="shared" ca="1" si="189"/>
        <v>0</v>
      </c>
      <c r="R79" s="21">
        <f t="shared" si="3"/>
        <v>0</v>
      </c>
      <c r="S79" s="128">
        <f t="shared" ref="S79:T79" ca="1" si="190">$R79*P79</f>
        <v>0</v>
      </c>
      <c r="T79" s="128">
        <f t="shared" ca="1" si="190"/>
        <v>0</v>
      </c>
      <c r="V79" s="75">
        <f ca="1"/>
        <v>3.509091427654988</v>
      </c>
      <c r="W79" s="75">
        <f ca="1"/>
        <v>0</v>
      </c>
      <c r="X79" s="21">
        <f ca="1">'res bld calcs'!G70-R79</f>
        <v>60947</v>
      </c>
      <c r="Y79" s="128">
        <f t="shared" ref="Y79:Z79" ca="1" si="191">$X79*V79</f>
        <v>213868.59524128857</v>
      </c>
      <c r="Z79" s="128">
        <f t="shared" ca="1" si="191"/>
        <v>0</v>
      </c>
    </row>
    <row r="80" spans="13:26" ht="13.2">
      <c r="M80" s="20" t="s">
        <v>10</v>
      </c>
      <c r="N80" s="20" t="s">
        <v>371</v>
      </c>
      <c r="O80" s="20" t="s">
        <v>377</v>
      </c>
      <c r="P80" s="46">
        <f ca="1">IF($C$6="Yes",((1-$C$4)*W80/$F$4)+V80,(1-$C$4)*V80)</f>
        <v>21.562552310908266</v>
      </c>
      <c r="Q80" s="46">
        <f>IF($C$6="Yes",0,(1-$C$4)*W80)</f>
        <v>0</v>
      </c>
      <c r="R80" s="21">
        <f t="shared" si="3"/>
        <v>0</v>
      </c>
      <c r="S80" s="128">
        <f t="shared" ref="S80:T80" ca="1" si="192">$R80*P80</f>
        <v>0</v>
      </c>
      <c r="T80" s="128">
        <f t="shared" si="192"/>
        <v>0</v>
      </c>
      <c r="V80" s="75">
        <f ca="1"/>
        <v>15.316246746430805</v>
      </c>
      <c r="W80" s="75">
        <f ca="1"/>
        <v>37.477833386864766</v>
      </c>
      <c r="X80" s="21">
        <f ca="1">'res bld calcs'!G71-R80</f>
        <v>60947</v>
      </c>
      <c r="Y80" s="128">
        <f t="shared" ref="Y80:Z80" ca="1" si="193">$X80*V80</f>
        <v>933479.29045471828</v>
      </c>
      <c r="Z80" s="128">
        <f t="shared" ca="1" si="193"/>
        <v>2284161.511429247</v>
      </c>
    </row>
    <row r="81" spans="13:26" ht="13.2">
      <c r="M81" s="20" t="s">
        <v>10</v>
      </c>
      <c r="N81" s="20" t="s">
        <v>371</v>
      </c>
      <c r="O81" s="20" t="s">
        <v>378</v>
      </c>
      <c r="P81" s="46">
        <f ca="1">IF($C$7="Yes",((1-$C$5)*W81/$F$4)+V81,(1-$C$5)*V81)</f>
        <v>7.2721302290958683</v>
      </c>
      <c r="Q81" s="46">
        <f>IF($C$7="Yes",0,(1-$C$5)*W81)</f>
        <v>0</v>
      </c>
      <c r="R81" s="21">
        <f t="shared" si="3"/>
        <v>0</v>
      </c>
      <c r="S81" s="128">
        <f t="shared" ref="S81:T81" ca="1" si="194">$R81*P81</f>
        <v>0</v>
      </c>
      <c r="T81" s="128">
        <f t="shared" si="194"/>
        <v>0</v>
      </c>
      <c r="V81" s="75">
        <f ca="1"/>
        <v>3.3245342202000812</v>
      </c>
      <c r="W81" s="75">
        <f ca="1"/>
        <v>11.842788026687362</v>
      </c>
      <c r="X81" s="21">
        <f ca="1">'res bld calcs'!G72-R81</f>
        <v>60947</v>
      </c>
      <c r="Y81" s="128">
        <f t="shared" ref="Y81:Z81" ca="1" si="195">$X81*V81</f>
        <v>202620.38711853436</v>
      </c>
      <c r="Z81" s="128">
        <f t="shared" ca="1" si="195"/>
        <v>721782.40186251467</v>
      </c>
    </row>
    <row r="82" spans="13:26" ht="13.2">
      <c r="M82" s="20" t="s">
        <v>10</v>
      </c>
      <c r="N82" s="20" t="s">
        <v>373</v>
      </c>
      <c r="O82" s="20" t="s">
        <v>369</v>
      </c>
      <c r="P82" s="46">
        <f t="shared" ref="P82:Q82" ca="1" si="196">(1-$C$5)*V82</f>
        <v>3.1062556166733932</v>
      </c>
      <c r="Q82" s="46">
        <f t="shared" ca="1" si="196"/>
        <v>0</v>
      </c>
      <c r="R82" s="21">
        <f t="shared" si="3"/>
        <v>0</v>
      </c>
      <c r="S82" s="128">
        <f t="shared" ref="S82:T82" ca="1" si="197">$R82*P82</f>
        <v>0</v>
      </c>
      <c r="T82" s="128">
        <f t="shared" ca="1" si="197"/>
        <v>0</v>
      </c>
      <c r="V82" s="75">
        <f ca="1"/>
        <v>3.1062556166733932</v>
      </c>
      <c r="W82" s="75">
        <f ca="1"/>
        <v>0</v>
      </c>
      <c r="X82" s="21">
        <f ca="1">'res bld calcs'!G73-R82</f>
        <v>16893</v>
      </c>
      <c r="Y82" s="128">
        <f t="shared" ref="Y82:Z82" ca="1" si="198">$X82*V82</f>
        <v>52473.976132463635</v>
      </c>
      <c r="Z82" s="128">
        <f t="shared" ca="1" si="198"/>
        <v>0</v>
      </c>
    </row>
    <row r="83" spans="13:26" ht="13.2">
      <c r="M83" s="20" t="s">
        <v>10</v>
      </c>
      <c r="N83" s="20" t="s">
        <v>373</v>
      </c>
      <c r="O83" s="20" t="s">
        <v>372</v>
      </c>
      <c r="P83" s="46">
        <f t="shared" ref="P83:Q83" ca="1" si="199">(1-$C$5)*V83</f>
        <v>4.7243806123531256</v>
      </c>
      <c r="Q83" s="46">
        <f t="shared" ca="1" si="199"/>
        <v>1.2058862659533733</v>
      </c>
      <c r="R83" s="21">
        <f t="shared" si="3"/>
        <v>0</v>
      </c>
      <c r="S83" s="128">
        <f t="shared" ref="S83:T83" ca="1" si="200">$R83*P83</f>
        <v>0</v>
      </c>
      <c r="T83" s="128">
        <f t="shared" ca="1" si="200"/>
        <v>0</v>
      </c>
      <c r="V83" s="75">
        <f ca="1"/>
        <v>4.7243806123531256</v>
      </c>
      <c r="W83" s="75">
        <f ca="1"/>
        <v>1.2058862659533733</v>
      </c>
      <c r="X83" s="21">
        <f ca="1">'res bld calcs'!G74-R83</f>
        <v>16893</v>
      </c>
      <c r="Y83" s="128">
        <f t="shared" ref="Y83:Z83" ca="1" si="201">$X83*V83</f>
        <v>79808.961684481357</v>
      </c>
      <c r="Z83" s="128">
        <f t="shared" ca="1" si="201"/>
        <v>20371.036690750338</v>
      </c>
    </row>
    <row r="84" spans="13:26" ht="13.2">
      <c r="M84" s="20" t="s">
        <v>10</v>
      </c>
      <c r="N84" s="20" t="s">
        <v>373</v>
      </c>
      <c r="O84" s="20" t="s">
        <v>374</v>
      </c>
      <c r="P84" s="46">
        <f t="shared" ref="P84:Q84" ca="1" si="202">(1-$C$5)*V84</f>
        <v>7.2394571023029402</v>
      </c>
      <c r="Q84" s="46">
        <f t="shared" ca="1" si="202"/>
        <v>0</v>
      </c>
      <c r="R84" s="21">
        <f t="shared" si="3"/>
        <v>0</v>
      </c>
      <c r="S84" s="128">
        <f t="shared" ref="S84:T84" ca="1" si="203">$R84*P84</f>
        <v>0</v>
      </c>
      <c r="T84" s="128">
        <f t="shared" ca="1" si="203"/>
        <v>0</v>
      </c>
      <c r="V84" s="75">
        <f ca="1"/>
        <v>7.2394571023029402</v>
      </c>
      <c r="W84" s="75">
        <f ca="1"/>
        <v>0</v>
      </c>
      <c r="X84" s="21">
        <f ca="1">'res bld calcs'!G75-R84</f>
        <v>16893</v>
      </c>
      <c r="Y84" s="128">
        <f t="shared" ref="Y84:Z84" ca="1" si="204">$X84*V84</f>
        <v>122296.14882920356</v>
      </c>
      <c r="Z84" s="128">
        <f t="shared" ca="1" si="204"/>
        <v>0</v>
      </c>
    </row>
    <row r="85" spans="13:26" ht="13.2">
      <c r="M85" s="20" t="s">
        <v>10</v>
      </c>
      <c r="N85" s="20" t="s">
        <v>373</v>
      </c>
      <c r="O85" s="20" t="s">
        <v>375</v>
      </c>
      <c r="P85" s="46">
        <f t="shared" ref="P85:Q85" ca="1" si="205">(1-$C$5)*V85</f>
        <v>1.9415710542459741</v>
      </c>
      <c r="Q85" s="46">
        <f t="shared" ca="1" si="205"/>
        <v>0</v>
      </c>
      <c r="R85" s="21">
        <f t="shared" si="3"/>
        <v>0</v>
      </c>
      <c r="S85" s="128">
        <f t="shared" ref="S85:T85" ca="1" si="206">$R85*P85</f>
        <v>0</v>
      </c>
      <c r="T85" s="128">
        <f t="shared" ca="1" si="206"/>
        <v>0</v>
      </c>
      <c r="V85" s="75">
        <f ca="1"/>
        <v>1.9415710542459741</v>
      </c>
      <c r="W85" s="75">
        <f ca="1"/>
        <v>0</v>
      </c>
      <c r="X85" s="21">
        <f ca="1">'res bld calcs'!G76-R85</f>
        <v>16893</v>
      </c>
      <c r="Y85" s="128">
        <f t="shared" ref="Y85:Z85" ca="1" si="207">$X85*V85</f>
        <v>32798.95981937724</v>
      </c>
      <c r="Z85" s="128">
        <f t="shared" ca="1" si="207"/>
        <v>0</v>
      </c>
    </row>
    <row r="86" spans="13:26" ht="13.2">
      <c r="M86" s="20" t="s">
        <v>10</v>
      </c>
      <c r="N86" s="20" t="s">
        <v>373</v>
      </c>
      <c r="O86" s="20" t="s">
        <v>376</v>
      </c>
      <c r="P86" s="46">
        <f t="shared" ref="P86:Q86" ca="1" si="208">(1-$C$5)*V86</f>
        <v>3.677427016166968</v>
      </c>
      <c r="Q86" s="46">
        <f t="shared" ca="1" si="208"/>
        <v>0</v>
      </c>
      <c r="R86" s="21">
        <f t="shared" si="3"/>
        <v>0</v>
      </c>
      <c r="S86" s="128">
        <f t="shared" ref="S86:T86" ca="1" si="209">$R86*P86</f>
        <v>0</v>
      </c>
      <c r="T86" s="128">
        <f t="shared" ca="1" si="209"/>
        <v>0</v>
      </c>
      <c r="V86" s="75">
        <f ca="1"/>
        <v>3.677427016166968</v>
      </c>
      <c r="W86" s="75">
        <f ca="1"/>
        <v>0</v>
      </c>
      <c r="X86" s="21">
        <f ca="1">'res bld calcs'!G77-R86</f>
        <v>16893</v>
      </c>
      <c r="Y86" s="128">
        <f t="shared" ref="Y86:Z86" ca="1" si="210">$X86*V86</f>
        <v>62122.774584108593</v>
      </c>
      <c r="Z86" s="128">
        <f t="shared" ca="1" si="210"/>
        <v>0</v>
      </c>
    </row>
    <row r="87" spans="13:26" ht="13.2">
      <c r="M87" s="20" t="s">
        <v>10</v>
      </c>
      <c r="N87" s="20" t="s">
        <v>373</v>
      </c>
      <c r="O87" s="20" t="s">
        <v>377</v>
      </c>
      <c r="P87" s="46">
        <f ca="1">IF($C$6="Yes",((1-$C$4)*W87/$F$4)+V87,(1-$C$4)*V87)</f>
        <v>19.302544271298707</v>
      </c>
      <c r="Q87" s="46">
        <f>IF($C$6="Yes",0,(1-$C$4)*W87)</f>
        <v>0</v>
      </c>
      <c r="R87" s="21">
        <f t="shared" si="3"/>
        <v>0</v>
      </c>
      <c r="S87" s="128">
        <f t="shared" ref="S87:T87" ca="1" si="211">$R87*P87</f>
        <v>0</v>
      </c>
      <c r="T87" s="128">
        <f t="shared" si="211"/>
        <v>0</v>
      </c>
      <c r="V87" s="75">
        <f ca="1"/>
        <v>12.684174723946134</v>
      </c>
      <c r="W87" s="75">
        <f ca="1"/>
        <v>39.71021728411543</v>
      </c>
      <c r="X87" s="21">
        <f ca="1">'res bld calcs'!G78-R87</f>
        <v>16893</v>
      </c>
      <c r="Y87" s="128">
        <f t="shared" ref="Y87:Z87" ca="1" si="212">$X87*V87</f>
        <v>214273.76361162204</v>
      </c>
      <c r="Z87" s="128">
        <f t="shared" ca="1" si="212"/>
        <v>670824.700580562</v>
      </c>
    </row>
    <row r="88" spans="13:26" ht="13.2">
      <c r="M88" s="20" t="s">
        <v>10</v>
      </c>
      <c r="N88" s="20" t="s">
        <v>373</v>
      </c>
      <c r="O88" s="20" t="s">
        <v>378</v>
      </c>
      <c r="P88" s="46">
        <f ca="1">IF($C$7="Yes",((1-$C$5)*W88/$F$4)+V88,(1-$C$5)*V88)</f>
        <v>5.1249764107219242</v>
      </c>
      <c r="Q88" s="46">
        <f>IF($C$7="Yes",0,(1-$C$5)*W88)</f>
        <v>0</v>
      </c>
      <c r="R88" s="21">
        <f t="shared" si="3"/>
        <v>0</v>
      </c>
      <c r="S88" s="128">
        <f t="shared" ref="S88:T88" ca="1" si="213">$R88*P88</f>
        <v>0</v>
      </c>
      <c r="T88" s="128">
        <f t="shared" si="213"/>
        <v>0</v>
      </c>
      <c r="V88" s="75">
        <f ca="1"/>
        <v>1.9771804007920744</v>
      </c>
      <c r="W88" s="75">
        <f ca="1"/>
        <v>9.4433880297895492</v>
      </c>
      <c r="X88" s="21">
        <f ca="1">'res bld calcs'!G79-R88</f>
        <v>16893</v>
      </c>
      <c r="Y88" s="128">
        <f t="shared" ref="Y88:Z88" ca="1" si="214">$X88*V88</f>
        <v>33400.508510580512</v>
      </c>
      <c r="Z88" s="128">
        <f t="shared" ca="1" si="214"/>
        <v>159527.15398723487</v>
      </c>
    </row>
    <row r="89" spans="13:26" ht="13.2">
      <c r="M89" s="20" t="s">
        <v>10</v>
      </c>
      <c r="N89" s="20" t="s">
        <v>370</v>
      </c>
      <c r="O89" s="20" t="s">
        <v>369</v>
      </c>
      <c r="P89" s="46">
        <f t="shared" ref="P89:Q89" ca="1" si="215">(1-$C$5)*V89</f>
        <v>3.5189232150330203</v>
      </c>
      <c r="Q89" s="46">
        <f t="shared" ca="1" si="215"/>
        <v>1.3210238600415179E-2</v>
      </c>
      <c r="R89" s="21">
        <f t="shared" si="3"/>
        <v>300</v>
      </c>
      <c r="S89" s="128">
        <f t="shared" ref="S89:T89" ca="1" si="216">$R89*P89</f>
        <v>1055.6769645099062</v>
      </c>
      <c r="T89" s="128">
        <f t="shared" ca="1" si="216"/>
        <v>3.9630715801245535</v>
      </c>
      <c r="V89" s="75">
        <f ca="1"/>
        <v>3.5189232150330203</v>
      </c>
      <c r="W89" s="75">
        <f ca="1"/>
        <v>1.3210238600415179E-2</v>
      </c>
      <c r="X89" s="21">
        <f ca="1">'res bld calcs'!G80-R89</f>
        <v>170226</v>
      </c>
      <c r="Y89" s="128">
        <f t="shared" ref="Y89:Z89" ca="1" si="217">$X89*V89</f>
        <v>599012.22320221097</v>
      </c>
      <c r="Z89" s="128">
        <f t="shared" ca="1" si="217"/>
        <v>2248.7260759942742</v>
      </c>
    </row>
    <row r="90" spans="13:26" ht="13.2">
      <c r="M90" s="20" t="s">
        <v>10</v>
      </c>
      <c r="N90" s="20" t="s">
        <v>370</v>
      </c>
      <c r="O90" s="20" t="s">
        <v>372</v>
      </c>
      <c r="P90" s="46">
        <f t="shared" ref="P90:Q90" ca="1" si="218">(1-$C$5)*V90</f>
        <v>5.6159810064821389</v>
      </c>
      <c r="Q90" s="46">
        <f t="shared" ca="1" si="218"/>
        <v>1.0194324834095465</v>
      </c>
      <c r="R90" s="21">
        <f t="shared" si="3"/>
        <v>300</v>
      </c>
      <c r="S90" s="128">
        <f t="shared" ref="S90:T90" ca="1" si="219">$R90*P90</f>
        <v>1684.7943019446416</v>
      </c>
      <c r="T90" s="128">
        <f t="shared" ca="1" si="219"/>
        <v>305.82974502286396</v>
      </c>
      <c r="V90" s="75">
        <f ca="1"/>
        <v>5.6159810064821389</v>
      </c>
      <c r="W90" s="75">
        <f ca="1"/>
        <v>1.0194324834095465</v>
      </c>
      <c r="X90" s="21">
        <f ca="1">'res bld calcs'!G81-R90</f>
        <v>170226</v>
      </c>
      <c r="Y90" s="128">
        <f t="shared" ref="Y90:Z90" ca="1" si="220">$X90*V90</f>
        <v>955985.98280942859</v>
      </c>
      <c r="Z90" s="128">
        <f t="shared" ca="1" si="220"/>
        <v>173533.91392087346</v>
      </c>
    </row>
    <row r="91" spans="13:26" ht="13.2">
      <c r="M91" s="20" t="s">
        <v>10</v>
      </c>
      <c r="N91" s="20" t="s">
        <v>370</v>
      </c>
      <c r="O91" s="20" t="s">
        <v>374</v>
      </c>
      <c r="P91" s="46">
        <f t="shared" ref="P91:Q91" ca="1" si="221">(1-$C$5)*V91</f>
        <v>6.1384305583891079</v>
      </c>
      <c r="Q91" s="46">
        <f t="shared" ca="1" si="221"/>
        <v>0</v>
      </c>
      <c r="R91" s="21">
        <f t="shared" si="3"/>
        <v>300</v>
      </c>
      <c r="S91" s="128">
        <f t="shared" ref="S91:T91" ca="1" si="222">$R91*P91</f>
        <v>1841.5291675167323</v>
      </c>
      <c r="T91" s="128">
        <f t="shared" ca="1" si="222"/>
        <v>0</v>
      </c>
      <c r="V91" s="75">
        <f ca="1"/>
        <v>6.1384305583891079</v>
      </c>
      <c r="W91" s="75">
        <f ca="1"/>
        <v>0</v>
      </c>
      <c r="X91" s="21">
        <f ca="1">'res bld calcs'!G82-R91</f>
        <v>170226</v>
      </c>
      <c r="Y91" s="128">
        <f t="shared" ref="Y91:Z91" ca="1" si="223">$X91*V91</f>
        <v>1044920.4802323442</v>
      </c>
      <c r="Z91" s="128">
        <f t="shared" ca="1" si="223"/>
        <v>0</v>
      </c>
    </row>
    <row r="92" spans="13:26" ht="13.2">
      <c r="M92" s="20" t="s">
        <v>10</v>
      </c>
      <c r="N92" s="20" t="s">
        <v>370</v>
      </c>
      <c r="O92" s="20" t="s">
        <v>375</v>
      </c>
      <c r="P92" s="46">
        <f t="shared" ref="P92:Q92" ca="1" si="224">(1-$C$5)*V92</f>
        <v>2.493806402119811</v>
      </c>
      <c r="Q92" s="46">
        <f t="shared" ca="1" si="224"/>
        <v>0</v>
      </c>
      <c r="R92" s="21">
        <f t="shared" si="3"/>
        <v>300</v>
      </c>
      <c r="S92" s="128">
        <f t="shared" ref="S92:T92" ca="1" si="225">$R92*P92</f>
        <v>748.14192063594328</v>
      </c>
      <c r="T92" s="128">
        <f t="shared" ca="1" si="225"/>
        <v>0</v>
      </c>
      <c r="V92" s="75">
        <f ca="1"/>
        <v>2.493806402119811</v>
      </c>
      <c r="W92" s="75">
        <f ca="1"/>
        <v>0</v>
      </c>
      <c r="X92" s="21">
        <f ca="1">'res bld calcs'!G83-R92</f>
        <v>170226</v>
      </c>
      <c r="Y92" s="128">
        <f t="shared" ref="Y92:Z92" ca="1" si="226">$X92*V92</f>
        <v>424510.68860724696</v>
      </c>
      <c r="Z92" s="128">
        <f t="shared" ca="1" si="226"/>
        <v>0</v>
      </c>
    </row>
    <row r="93" spans="13:26" ht="13.2">
      <c r="M93" s="20" t="s">
        <v>10</v>
      </c>
      <c r="N93" s="20" t="s">
        <v>370</v>
      </c>
      <c r="O93" s="20" t="s">
        <v>376</v>
      </c>
      <c r="P93" s="46">
        <f t="shared" ref="P93:Q93" ca="1" si="227">(1-$C$5)*V93</f>
        <v>4.6211702684695659</v>
      </c>
      <c r="Q93" s="46">
        <f t="shared" ca="1" si="227"/>
        <v>0</v>
      </c>
      <c r="R93" s="21">
        <f t="shared" si="3"/>
        <v>300</v>
      </c>
      <c r="S93" s="128">
        <f t="shared" ref="S93:T93" ca="1" si="228">$R93*P93</f>
        <v>1386.3510805408698</v>
      </c>
      <c r="T93" s="128">
        <f t="shared" ca="1" si="228"/>
        <v>0</v>
      </c>
      <c r="V93" s="75">
        <f ca="1"/>
        <v>4.6211702684695659</v>
      </c>
      <c r="W93" s="75">
        <f ca="1"/>
        <v>0</v>
      </c>
      <c r="X93" s="21">
        <f ca="1">'res bld calcs'!G84-R93</f>
        <v>170226</v>
      </c>
      <c r="Y93" s="128">
        <f t="shared" ref="Y93:Z93" ca="1" si="229">$X93*V93</f>
        <v>786643.33012050029</v>
      </c>
      <c r="Z93" s="128">
        <f t="shared" ca="1" si="229"/>
        <v>0</v>
      </c>
    </row>
    <row r="94" spans="13:26" ht="13.2">
      <c r="M94" s="20" t="s">
        <v>10</v>
      </c>
      <c r="N94" s="20" t="s">
        <v>370</v>
      </c>
      <c r="O94" s="20" t="s">
        <v>377</v>
      </c>
      <c r="P94" s="46">
        <f ca="1">IF($C$6="Yes",((1-$C$4)*W94/$F$4)+V94,(1-$C$4)*V94)</f>
        <v>17.910773962359205</v>
      </c>
      <c r="Q94" s="46">
        <f>IF($C$6="Yes",0,(1-$C$4)*W94)</f>
        <v>0</v>
      </c>
      <c r="R94" s="21">
        <f t="shared" si="3"/>
        <v>300</v>
      </c>
      <c r="S94" s="128">
        <f t="shared" ref="S94:T94" ca="1" si="230">$R94*P94</f>
        <v>5373.2321887077615</v>
      </c>
      <c r="T94" s="128">
        <f t="shared" si="230"/>
        <v>0</v>
      </c>
      <c r="V94" s="75">
        <f ca="1"/>
        <v>10.660814806249462</v>
      </c>
      <c r="W94" s="75">
        <f ca="1"/>
        <v>43.499754936658448</v>
      </c>
      <c r="X94" s="21">
        <f ca="1">'res bld calcs'!G85-R94</f>
        <v>170226</v>
      </c>
      <c r="Y94" s="128">
        <f t="shared" ref="Y94:Z94" ca="1" si="231">$X94*V94</f>
        <v>1814747.8612086209</v>
      </c>
      <c r="Z94" s="128">
        <f t="shared" ca="1" si="231"/>
        <v>7404789.2838476207</v>
      </c>
    </row>
    <row r="95" spans="13:26" ht="13.2">
      <c r="M95" s="20" t="s">
        <v>10</v>
      </c>
      <c r="N95" s="20" t="s">
        <v>370</v>
      </c>
      <c r="O95" s="20" t="s">
        <v>378</v>
      </c>
      <c r="P95" s="46">
        <f ca="1">IF($C$7="Yes",((1-$C$5)*W95/$F$4)+V95,(1-$C$5)*V95)</f>
        <v>4.2436849101341512</v>
      </c>
      <c r="Q95" s="46">
        <f>IF($C$7="Yes",0,(1-$C$5)*W95)</f>
        <v>0</v>
      </c>
      <c r="R95" s="21">
        <f t="shared" si="3"/>
        <v>300</v>
      </c>
      <c r="S95" s="128">
        <f t="shared" ref="S95:T95" ca="1" si="232">$R95*P95</f>
        <v>1273.1054730402454</v>
      </c>
      <c r="T95" s="128">
        <f t="shared" si="232"/>
        <v>0</v>
      </c>
      <c r="V95" s="75">
        <f ca="1"/>
        <v>2.3013202697375048</v>
      </c>
      <c r="W95" s="75">
        <f ca="1"/>
        <v>5.82709392118994</v>
      </c>
      <c r="X95" s="21">
        <f ca="1">'res bld calcs'!G86-R95</f>
        <v>170226</v>
      </c>
      <c r="Y95" s="128">
        <f t="shared" ref="Y95:Z95" ca="1" si="233">$X95*V95</f>
        <v>391744.54423633649</v>
      </c>
      <c r="Z95" s="128">
        <f t="shared" ca="1" si="233"/>
        <v>991922.88982847868</v>
      </c>
    </row>
    <row r="96" spans="13:26" ht="13.2">
      <c r="P96" s="46"/>
      <c r="Q96" s="46"/>
      <c r="S96" s="128"/>
      <c r="T96" s="128"/>
      <c r="V96" s="75">
        <v>0</v>
      </c>
      <c r="W96" s="75">
        <v>0</v>
      </c>
      <c r="X96" s="20">
        <f>'res bld calcs'!G87-R96</f>
        <v>0</v>
      </c>
      <c r="Y96" s="128">
        <f t="shared" ref="Y96:Z96" si="234">$X96*V96</f>
        <v>0</v>
      </c>
      <c r="Z96" s="128">
        <f t="shared" si="234"/>
        <v>0</v>
      </c>
    </row>
    <row r="97" spans="16:26" ht="13.2">
      <c r="P97" s="46"/>
      <c r="Q97" s="46"/>
      <c r="S97" s="128"/>
      <c r="T97" s="128"/>
      <c r="V97" s="75">
        <v>0</v>
      </c>
      <c r="W97" s="75">
        <v>0</v>
      </c>
      <c r="X97" s="20">
        <f>'res bld calcs'!G88-R97</f>
        <v>0</v>
      </c>
      <c r="Y97" s="128">
        <f t="shared" ref="Y97:Z97" si="235">$X97*V97</f>
        <v>0</v>
      </c>
      <c r="Z97" s="128">
        <f t="shared" si="235"/>
        <v>0</v>
      </c>
    </row>
    <row r="98" spans="16:26" ht="13.2">
      <c r="P98" s="46"/>
      <c r="Q98" s="46"/>
      <c r="S98" s="128"/>
      <c r="T98" s="128"/>
      <c r="V98" s="75">
        <v>0</v>
      </c>
      <c r="W98" s="75">
        <v>0</v>
      </c>
      <c r="X98" s="20">
        <f>'res bld calcs'!G89-R98</f>
        <v>0</v>
      </c>
      <c r="Y98" s="128">
        <f t="shared" ref="Y98:Z98" si="236">$X98*V98</f>
        <v>0</v>
      </c>
      <c r="Z98" s="128">
        <f t="shared" si="236"/>
        <v>0</v>
      </c>
    </row>
    <row r="99" spans="16:26" ht="13.2">
      <c r="P99" s="46"/>
      <c r="Q99" s="46"/>
      <c r="S99" s="128"/>
      <c r="T99" s="128"/>
      <c r="V99" s="75">
        <v>0</v>
      </c>
      <c r="W99" s="75">
        <v>0</v>
      </c>
      <c r="X99" s="20">
        <f>'res bld calcs'!G90-R99</f>
        <v>0</v>
      </c>
      <c r="Y99" s="128">
        <f t="shared" ref="Y99:Z99" si="237">$X99*V99</f>
        <v>0</v>
      </c>
      <c r="Z99" s="128">
        <f t="shared" si="237"/>
        <v>0</v>
      </c>
    </row>
    <row r="100" spans="16:26" ht="13.2">
      <c r="P100" s="46"/>
      <c r="Q100" s="46"/>
      <c r="S100" s="128"/>
      <c r="T100" s="128"/>
      <c r="V100" s="75">
        <v>0</v>
      </c>
      <c r="W100" s="75">
        <v>0</v>
      </c>
      <c r="X100" s="20">
        <f>'res bld calcs'!G91-R100</f>
        <v>0</v>
      </c>
      <c r="Y100" s="128">
        <f t="shared" ref="Y100:Z100" si="238">$X100*V100</f>
        <v>0</v>
      </c>
      <c r="Z100" s="128">
        <f t="shared" si="238"/>
        <v>0</v>
      </c>
    </row>
    <row r="101" spans="16:26" ht="13.2">
      <c r="P101" s="46"/>
      <c r="Q101" s="46"/>
      <c r="S101" s="128"/>
      <c r="T101" s="128"/>
      <c r="V101" s="75">
        <v>0</v>
      </c>
      <c r="W101" s="75">
        <v>0</v>
      </c>
      <c r="X101" s="20">
        <f>'res bld calcs'!G92-R101</f>
        <v>0</v>
      </c>
      <c r="Y101" s="128">
        <f t="shared" ref="Y101:Z101" si="239">$X101*V101</f>
        <v>0</v>
      </c>
      <c r="Z101" s="128">
        <f t="shared" si="239"/>
        <v>0</v>
      </c>
    </row>
    <row r="102" spans="16:26" ht="13.2">
      <c r="P102" s="46"/>
      <c r="Q102" s="46"/>
      <c r="S102" s="128"/>
      <c r="T102" s="128"/>
      <c r="V102" s="75">
        <v>0</v>
      </c>
      <c r="W102" s="75">
        <v>0</v>
      </c>
      <c r="X102" s="20">
        <f>'res bld calcs'!G93-R102</f>
        <v>0</v>
      </c>
      <c r="Y102" s="128">
        <f t="shared" ref="Y102:Z102" si="240">$X102*V102</f>
        <v>0</v>
      </c>
      <c r="Z102" s="128">
        <f t="shared" si="240"/>
        <v>0</v>
      </c>
    </row>
    <row r="103" spans="16:26" ht="13.2">
      <c r="P103" s="46"/>
      <c r="Q103" s="46"/>
      <c r="S103" s="128"/>
      <c r="T103" s="128"/>
      <c r="V103" s="75">
        <v>0</v>
      </c>
      <c r="W103" s="75">
        <v>0</v>
      </c>
      <c r="X103" s="20">
        <f>'res bld calcs'!G94-R103</f>
        <v>0</v>
      </c>
      <c r="Y103" s="128">
        <f t="shared" ref="Y103:Z103" si="241">$X103*V103</f>
        <v>0</v>
      </c>
      <c r="Z103" s="128">
        <f t="shared" si="241"/>
        <v>0</v>
      </c>
    </row>
    <row r="104" spans="16:26" ht="13.2">
      <c r="P104" s="46"/>
      <c r="Q104" s="46"/>
      <c r="S104" s="128"/>
      <c r="T104" s="128"/>
      <c r="V104" s="75">
        <v>0</v>
      </c>
      <c r="W104" s="75">
        <v>0</v>
      </c>
      <c r="X104" s="20">
        <f>'res bld calcs'!G95-R104</f>
        <v>0</v>
      </c>
      <c r="Y104" s="128">
        <f t="shared" ref="Y104:Z104" si="242">$X104*V104</f>
        <v>0</v>
      </c>
      <c r="Z104" s="128">
        <f t="shared" si="242"/>
        <v>0</v>
      </c>
    </row>
    <row r="105" spans="16:26" ht="13.2">
      <c r="P105" s="46"/>
      <c r="Q105" s="46"/>
      <c r="S105" s="128"/>
      <c r="T105" s="128"/>
      <c r="V105" s="75">
        <v>0</v>
      </c>
      <c r="W105" s="75">
        <v>0</v>
      </c>
      <c r="X105" s="20">
        <f>'res bld calcs'!G96-R105</f>
        <v>0</v>
      </c>
      <c r="Y105" s="128">
        <f t="shared" ref="Y105:Z105" si="243">$X105*V105</f>
        <v>0</v>
      </c>
      <c r="Z105" s="128">
        <f t="shared" si="243"/>
        <v>0</v>
      </c>
    </row>
    <row r="106" spans="16:26" ht="13.2">
      <c r="P106" s="46"/>
      <c r="Q106" s="46"/>
      <c r="S106" s="128"/>
      <c r="T106" s="128"/>
      <c r="V106" s="75">
        <v>0</v>
      </c>
      <c r="W106" s="75">
        <v>0</v>
      </c>
      <c r="X106" s="20">
        <f>'res bld calcs'!G97-R106</f>
        <v>0</v>
      </c>
      <c r="Y106" s="128">
        <f t="shared" ref="Y106:Z106" si="244">$X106*V106</f>
        <v>0</v>
      </c>
      <c r="Z106" s="128">
        <f t="shared" si="244"/>
        <v>0</v>
      </c>
    </row>
    <row r="107" spans="16:26" ht="13.2">
      <c r="P107" s="46"/>
      <c r="Q107" s="46"/>
      <c r="S107" s="128"/>
      <c r="T107" s="128"/>
      <c r="V107" s="75">
        <v>0</v>
      </c>
      <c r="W107" s="75">
        <v>0</v>
      </c>
      <c r="X107" s="20">
        <f>'res bld calcs'!G98-R107</f>
        <v>0</v>
      </c>
      <c r="Y107" s="128">
        <f t="shared" ref="Y107:Z107" si="245">$X107*V107</f>
        <v>0</v>
      </c>
      <c r="Z107" s="128">
        <f t="shared" si="245"/>
        <v>0</v>
      </c>
    </row>
    <row r="108" spans="16:26" ht="13.2">
      <c r="P108" s="46"/>
      <c r="Q108" s="46"/>
      <c r="S108" s="128"/>
      <c r="T108" s="128"/>
      <c r="V108" s="75">
        <v>0</v>
      </c>
      <c r="W108" s="75">
        <v>0</v>
      </c>
      <c r="X108" s="20">
        <f>'res bld calcs'!G99-R108</f>
        <v>0</v>
      </c>
      <c r="Y108" s="128">
        <f t="shared" ref="Y108:Z108" si="246">$X108*V108</f>
        <v>0</v>
      </c>
      <c r="Z108" s="128">
        <f t="shared" si="246"/>
        <v>0</v>
      </c>
    </row>
    <row r="109" spans="16:26" ht="13.2">
      <c r="P109" s="46"/>
      <c r="Q109" s="46"/>
      <c r="S109" s="128"/>
      <c r="T109" s="128"/>
      <c r="V109" s="75">
        <v>0</v>
      </c>
      <c r="W109" s="75">
        <v>0</v>
      </c>
      <c r="X109" s="20">
        <f>'res bld calcs'!G100-R109</f>
        <v>0</v>
      </c>
      <c r="Y109" s="128">
        <f t="shared" ref="Y109:Z109" si="247">$X109*V109</f>
        <v>0</v>
      </c>
      <c r="Z109" s="128">
        <f t="shared" si="247"/>
        <v>0</v>
      </c>
    </row>
    <row r="110" spans="16:26" ht="13.2">
      <c r="P110" s="46"/>
      <c r="Q110" s="46"/>
      <c r="S110" s="128"/>
      <c r="T110" s="128"/>
      <c r="V110" s="75">
        <v>0</v>
      </c>
      <c r="W110" s="75">
        <v>0</v>
      </c>
      <c r="X110" s="20">
        <f>'res bld calcs'!G101-R110</f>
        <v>0</v>
      </c>
      <c r="Y110" s="128">
        <f t="shared" ref="Y110:Z110" si="248">$X110*V110</f>
        <v>0</v>
      </c>
      <c r="Z110" s="128">
        <f t="shared" si="248"/>
        <v>0</v>
      </c>
    </row>
    <row r="111" spans="16:26" ht="13.2">
      <c r="P111" s="46"/>
      <c r="Q111" s="46"/>
      <c r="S111" s="128"/>
      <c r="T111" s="128"/>
      <c r="V111" s="75">
        <v>0</v>
      </c>
      <c r="W111" s="75">
        <v>0</v>
      </c>
      <c r="X111" s="20">
        <f>'res bld calcs'!G102-R111</f>
        <v>0</v>
      </c>
      <c r="Y111" s="128">
        <f t="shared" ref="Y111:Z111" si="249">$X111*V111</f>
        <v>0</v>
      </c>
      <c r="Z111" s="128">
        <f t="shared" si="249"/>
        <v>0</v>
      </c>
    </row>
    <row r="112" spans="16:26" ht="13.2">
      <c r="P112" s="46"/>
      <c r="Q112" s="46"/>
      <c r="S112" s="128"/>
      <c r="T112" s="128"/>
      <c r="V112" s="75">
        <v>0</v>
      </c>
      <c r="W112" s="75">
        <v>0</v>
      </c>
      <c r="X112" s="20">
        <f>'res bld calcs'!G103-R112</f>
        <v>0</v>
      </c>
      <c r="Y112" s="128">
        <f t="shared" ref="Y112:Z112" si="250">$X112*V112</f>
        <v>0</v>
      </c>
      <c r="Z112" s="128">
        <f t="shared" si="250"/>
        <v>0</v>
      </c>
    </row>
    <row r="113" spans="16:26" ht="13.2">
      <c r="P113" s="46"/>
      <c r="Q113" s="46"/>
      <c r="S113" s="128"/>
      <c r="T113" s="128"/>
      <c r="V113" s="75">
        <v>0</v>
      </c>
      <c r="W113" s="75">
        <v>0</v>
      </c>
      <c r="X113" s="20">
        <f>'res bld calcs'!G104-R113</f>
        <v>0</v>
      </c>
      <c r="Y113" s="128">
        <f t="shared" ref="Y113:Z113" si="251">$X113*V113</f>
        <v>0</v>
      </c>
      <c r="Z113" s="128">
        <f t="shared" si="251"/>
        <v>0</v>
      </c>
    </row>
    <row r="114" spans="16:26" ht="13.2">
      <c r="P114" s="46"/>
      <c r="Q114" s="46"/>
      <c r="S114" s="128"/>
      <c r="T114" s="128"/>
      <c r="V114" s="75">
        <v>0</v>
      </c>
      <c r="W114" s="75">
        <v>0</v>
      </c>
      <c r="X114" s="20">
        <f>'res bld calcs'!G105-R114</f>
        <v>0</v>
      </c>
      <c r="Y114" s="128">
        <f t="shared" ref="Y114:Z114" si="252">$X114*V114</f>
        <v>0</v>
      </c>
      <c r="Z114" s="128">
        <f t="shared" si="252"/>
        <v>0</v>
      </c>
    </row>
    <row r="115" spans="16:26" ht="13.2">
      <c r="P115" s="46"/>
      <c r="Q115" s="46"/>
      <c r="S115" s="128"/>
      <c r="T115" s="128"/>
      <c r="V115" s="75">
        <v>0</v>
      </c>
      <c r="W115" s="75">
        <v>0</v>
      </c>
      <c r="X115" s="20">
        <f>'res bld calcs'!G106-R115</f>
        <v>0</v>
      </c>
      <c r="Y115" s="128">
        <f t="shared" ref="Y115:Z115" si="253">$X115*V115</f>
        <v>0</v>
      </c>
      <c r="Z115" s="128">
        <f t="shared" si="253"/>
        <v>0</v>
      </c>
    </row>
    <row r="116" spans="16:26" ht="13.2">
      <c r="P116" s="46"/>
      <c r="Q116" s="46"/>
      <c r="S116" s="128"/>
      <c r="T116" s="128"/>
      <c r="V116" s="75">
        <v>0</v>
      </c>
      <c r="W116" s="75">
        <v>0</v>
      </c>
      <c r="X116" s="20">
        <f>'res bld calcs'!G107-R116</f>
        <v>0</v>
      </c>
      <c r="Y116" s="128">
        <f t="shared" ref="Y116:Z116" si="254">$X116*V116</f>
        <v>0</v>
      </c>
      <c r="Z116" s="128">
        <f t="shared" si="254"/>
        <v>0</v>
      </c>
    </row>
    <row r="117" spans="16:26" ht="13.2">
      <c r="P117" s="46"/>
      <c r="Q117" s="46"/>
      <c r="S117" s="128"/>
      <c r="T117" s="128"/>
      <c r="V117" s="75">
        <v>0</v>
      </c>
      <c r="W117" s="75">
        <v>0</v>
      </c>
      <c r="X117" s="20">
        <f>'res bld calcs'!G108-R117</f>
        <v>0</v>
      </c>
      <c r="Y117" s="128">
        <f t="shared" ref="Y117:Z117" si="255">$X117*V117</f>
        <v>0</v>
      </c>
      <c r="Z117" s="128">
        <f t="shared" si="255"/>
        <v>0</v>
      </c>
    </row>
    <row r="118" spans="16:26" ht="13.2">
      <c r="P118" s="46"/>
      <c r="Q118" s="46"/>
      <c r="S118" s="128"/>
      <c r="T118" s="128"/>
      <c r="V118" s="75">
        <v>0</v>
      </c>
      <c r="W118" s="75">
        <v>0</v>
      </c>
      <c r="X118" s="20">
        <f>'res bld calcs'!G109-R118</f>
        <v>0</v>
      </c>
      <c r="Y118" s="128">
        <f t="shared" ref="Y118:Z118" si="256">$X118*V118</f>
        <v>0</v>
      </c>
      <c r="Z118" s="128">
        <f t="shared" si="256"/>
        <v>0</v>
      </c>
    </row>
    <row r="119" spans="16:26" ht="13.2">
      <c r="P119" s="46"/>
      <c r="Q119" s="46"/>
      <c r="S119" s="128"/>
      <c r="T119" s="128"/>
      <c r="V119" s="75">
        <v>0</v>
      </c>
      <c r="W119" s="75">
        <v>0</v>
      </c>
      <c r="X119" s="20">
        <f>'res bld calcs'!G110-R119</f>
        <v>0</v>
      </c>
      <c r="Y119" s="128">
        <f t="shared" ref="Y119:Z119" si="257">$X119*V119</f>
        <v>0</v>
      </c>
      <c r="Z119" s="128">
        <f t="shared" si="257"/>
        <v>0</v>
      </c>
    </row>
    <row r="120" spans="16:26" ht="13.2">
      <c r="P120" s="46"/>
      <c r="Q120" s="46"/>
      <c r="S120" s="128"/>
      <c r="T120" s="128"/>
      <c r="V120" s="75">
        <v>0</v>
      </c>
      <c r="W120" s="75">
        <v>0</v>
      </c>
      <c r="X120" s="20">
        <f>'res bld calcs'!G111-R120</f>
        <v>0</v>
      </c>
      <c r="Y120" s="128">
        <f t="shared" ref="Y120:Z120" si="258">$X120*V120</f>
        <v>0</v>
      </c>
      <c r="Z120" s="128">
        <f t="shared" si="258"/>
        <v>0</v>
      </c>
    </row>
    <row r="121" spans="16:26" ht="13.2">
      <c r="P121" s="46"/>
      <c r="Q121" s="46"/>
      <c r="S121" s="128"/>
      <c r="T121" s="128"/>
      <c r="V121" s="75">
        <v>0</v>
      </c>
      <c r="W121" s="75">
        <v>0</v>
      </c>
      <c r="X121" s="20">
        <f>'res bld calcs'!G112-R121</f>
        <v>0</v>
      </c>
      <c r="Y121" s="128">
        <f t="shared" ref="Y121:Z121" si="259">$X121*V121</f>
        <v>0</v>
      </c>
      <c r="Z121" s="128">
        <f t="shared" si="259"/>
        <v>0</v>
      </c>
    </row>
    <row r="122" spans="16:26" ht="13.2">
      <c r="P122" s="46"/>
      <c r="Q122" s="46"/>
      <c r="S122" s="128"/>
      <c r="T122" s="128"/>
      <c r="V122" s="75">
        <v>0</v>
      </c>
      <c r="W122" s="75">
        <v>0</v>
      </c>
      <c r="X122" s="20">
        <f>'res bld calcs'!G113-R122</f>
        <v>0</v>
      </c>
      <c r="Y122" s="128">
        <f t="shared" ref="Y122:Z122" si="260">$X122*V122</f>
        <v>0</v>
      </c>
      <c r="Z122" s="128">
        <f t="shared" si="260"/>
        <v>0</v>
      </c>
    </row>
    <row r="123" spans="16:26" ht="13.2">
      <c r="P123" s="46"/>
      <c r="Q123" s="46"/>
      <c r="S123" s="128"/>
      <c r="T123" s="128"/>
      <c r="V123" s="75">
        <v>0</v>
      </c>
      <c r="W123" s="75">
        <v>0</v>
      </c>
      <c r="X123" s="20">
        <f>'res bld calcs'!G114-R123</f>
        <v>0</v>
      </c>
      <c r="Y123" s="128">
        <f t="shared" ref="Y123:Z123" si="261">$X123*V123</f>
        <v>0</v>
      </c>
      <c r="Z123" s="128">
        <f t="shared" si="261"/>
        <v>0</v>
      </c>
    </row>
    <row r="124" spans="16:26" ht="13.2">
      <c r="P124" s="46"/>
      <c r="Q124" s="46"/>
      <c r="S124" s="128"/>
      <c r="T124" s="128"/>
      <c r="V124" s="75">
        <v>0</v>
      </c>
      <c r="W124" s="75">
        <v>0</v>
      </c>
      <c r="X124" s="20">
        <f>'res bld calcs'!G115-R124</f>
        <v>0</v>
      </c>
      <c r="Y124" s="128">
        <f t="shared" ref="Y124:Z124" si="262">$X124*V124</f>
        <v>0</v>
      </c>
      <c r="Z124" s="128">
        <f t="shared" si="262"/>
        <v>0</v>
      </c>
    </row>
    <row r="125" spans="16:26" ht="13.2">
      <c r="P125" s="46"/>
      <c r="Q125" s="46"/>
      <c r="S125" s="128"/>
      <c r="T125" s="128"/>
      <c r="V125" s="75">
        <v>0</v>
      </c>
      <c r="W125" s="75">
        <v>0</v>
      </c>
      <c r="X125" s="20">
        <f>'res bld calcs'!G116-R125</f>
        <v>0</v>
      </c>
      <c r="Y125" s="128">
        <f t="shared" ref="Y125:Z125" si="263">$X125*V125</f>
        <v>0</v>
      </c>
      <c r="Z125" s="128">
        <f t="shared" si="263"/>
        <v>0</v>
      </c>
    </row>
    <row r="126" spans="16:26" ht="13.2">
      <c r="P126" s="46"/>
      <c r="Q126" s="46"/>
      <c r="S126" s="128"/>
      <c r="T126" s="128"/>
      <c r="V126" s="75">
        <v>0</v>
      </c>
      <c r="W126" s="75">
        <v>0</v>
      </c>
      <c r="X126" s="20">
        <f>'res bld calcs'!G117-R126</f>
        <v>0</v>
      </c>
      <c r="Y126" s="128">
        <f t="shared" ref="Y126:Z126" si="264">$X126*V126</f>
        <v>0</v>
      </c>
      <c r="Z126" s="128">
        <f t="shared" si="264"/>
        <v>0</v>
      </c>
    </row>
    <row r="127" spans="16:26" ht="13.2">
      <c r="P127" s="46"/>
      <c r="Q127" s="46"/>
      <c r="S127" s="128"/>
      <c r="T127" s="128"/>
      <c r="V127" s="75">
        <v>0</v>
      </c>
      <c r="W127" s="75">
        <v>0</v>
      </c>
      <c r="X127" s="20">
        <f>'res bld calcs'!G118-R127</f>
        <v>0</v>
      </c>
      <c r="Y127" s="128">
        <f t="shared" ref="Y127:Z127" si="265">$X127*V127</f>
        <v>0</v>
      </c>
      <c r="Z127" s="128">
        <f t="shared" si="265"/>
        <v>0</v>
      </c>
    </row>
    <row r="128" spans="16:26" ht="13.2">
      <c r="P128" s="46"/>
      <c r="Q128" s="46"/>
      <c r="S128" s="128"/>
      <c r="T128" s="128"/>
      <c r="V128" s="75">
        <v>0</v>
      </c>
      <c r="W128" s="75">
        <v>0</v>
      </c>
      <c r="X128" s="20">
        <f>'res bld calcs'!G119-R128</f>
        <v>0</v>
      </c>
      <c r="Y128" s="128">
        <f t="shared" ref="Y128:Z128" si="266">$X128*V128</f>
        <v>0</v>
      </c>
      <c r="Z128" s="128">
        <f t="shared" si="266"/>
        <v>0</v>
      </c>
    </row>
    <row r="129" spans="16:26" ht="13.2">
      <c r="P129" s="46"/>
      <c r="Q129" s="46"/>
      <c r="S129" s="128"/>
      <c r="T129" s="128"/>
      <c r="V129" s="75">
        <v>0</v>
      </c>
      <c r="W129" s="75">
        <v>0</v>
      </c>
      <c r="X129" s="20">
        <f>'res bld calcs'!G120-R129</f>
        <v>0</v>
      </c>
      <c r="Y129" s="128">
        <f t="shared" ref="Y129:Z129" si="267">$X129*V129</f>
        <v>0</v>
      </c>
      <c r="Z129" s="128">
        <f t="shared" si="267"/>
        <v>0</v>
      </c>
    </row>
    <row r="130" spans="16:26" ht="13.2">
      <c r="P130" s="46"/>
      <c r="Q130" s="46"/>
      <c r="S130" s="128"/>
      <c r="T130" s="128"/>
      <c r="V130" s="75">
        <v>0</v>
      </c>
      <c r="W130" s="75">
        <v>0</v>
      </c>
      <c r="X130" s="20">
        <f>'res bld calcs'!G121-R130</f>
        <v>0</v>
      </c>
      <c r="Y130" s="128">
        <f t="shared" ref="Y130:Z130" si="268">$X130*V130</f>
        <v>0</v>
      </c>
      <c r="Z130" s="128">
        <f t="shared" si="268"/>
        <v>0</v>
      </c>
    </row>
    <row r="131" spans="16:26" ht="13.2">
      <c r="P131" s="46"/>
      <c r="Q131" s="46"/>
      <c r="S131" s="128"/>
      <c r="T131" s="128"/>
      <c r="V131" s="75">
        <v>0</v>
      </c>
      <c r="W131" s="75">
        <v>0</v>
      </c>
      <c r="X131" s="20">
        <f>'res bld calcs'!G122-R131</f>
        <v>0</v>
      </c>
      <c r="Y131" s="128">
        <f t="shared" ref="Y131:Z131" si="269">$X131*V131</f>
        <v>0</v>
      </c>
      <c r="Z131" s="128">
        <f t="shared" si="269"/>
        <v>0</v>
      </c>
    </row>
    <row r="132" spans="16:26" ht="13.2">
      <c r="P132" s="46"/>
      <c r="Q132" s="46"/>
      <c r="S132" s="128"/>
      <c r="T132" s="128"/>
      <c r="V132" s="75">
        <v>0</v>
      </c>
      <c r="W132" s="75">
        <v>0</v>
      </c>
      <c r="X132" s="20">
        <f>'res bld calcs'!G123-R132</f>
        <v>0</v>
      </c>
      <c r="Y132" s="128">
        <f t="shared" ref="Y132:Z132" si="270">$X132*V132</f>
        <v>0</v>
      </c>
      <c r="Z132" s="128">
        <f t="shared" si="270"/>
        <v>0</v>
      </c>
    </row>
    <row r="133" spans="16:26" ht="13.2">
      <c r="P133" s="46"/>
      <c r="Q133" s="46"/>
      <c r="S133" s="128"/>
      <c r="T133" s="128"/>
      <c r="V133" s="75">
        <v>0</v>
      </c>
      <c r="W133" s="75">
        <v>0</v>
      </c>
      <c r="X133" s="20">
        <f>'res bld calcs'!G124-R133</f>
        <v>0</v>
      </c>
      <c r="Y133" s="128">
        <f t="shared" ref="Y133:Z133" si="271">$X133*V133</f>
        <v>0</v>
      </c>
      <c r="Z133" s="128">
        <f t="shared" si="271"/>
        <v>0</v>
      </c>
    </row>
    <row r="134" spans="16:26" ht="13.2">
      <c r="P134" s="46"/>
      <c r="Q134" s="46"/>
      <c r="S134" s="128"/>
      <c r="T134" s="128"/>
      <c r="V134" s="75">
        <v>0</v>
      </c>
      <c r="W134" s="75">
        <v>0</v>
      </c>
      <c r="X134" s="20">
        <f>'res bld calcs'!G125-R134</f>
        <v>0</v>
      </c>
      <c r="Y134" s="128">
        <f t="shared" ref="Y134:Z134" si="272">$X134*V134</f>
        <v>0</v>
      </c>
      <c r="Z134" s="128">
        <f t="shared" si="272"/>
        <v>0</v>
      </c>
    </row>
    <row r="135" spans="16:26" ht="13.2">
      <c r="P135" s="46"/>
      <c r="Q135" s="46"/>
      <c r="S135" s="128"/>
      <c r="T135" s="128"/>
      <c r="V135" s="75">
        <v>0</v>
      </c>
      <c r="W135" s="75">
        <v>0</v>
      </c>
      <c r="X135" s="20">
        <f>'res bld calcs'!G126-R135</f>
        <v>0</v>
      </c>
      <c r="Y135" s="128">
        <f t="shared" ref="Y135:Z135" si="273">$X135*V135</f>
        <v>0</v>
      </c>
      <c r="Z135" s="128">
        <f t="shared" si="273"/>
        <v>0</v>
      </c>
    </row>
    <row r="136" spans="16:26" ht="13.2">
      <c r="P136" s="46"/>
      <c r="Q136" s="46"/>
      <c r="S136" s="128"/>
      <c r="T136" s="128"/>
      <c r="V136" s="75">
        <v>0</v>
      </c>
      <c r="W136" s="75">
        <v>0</v>
      </c>
      <c r="X136" s="20">
        <f>'res bld calcs'!G127-R136</f>
        <v>0</v>
      </c>
      <c r="Y136" s="128">
        <f t="shared" ref="Y136:Z136" si="274">$X136*V136</f>
        <v>0</v>
      </c>
      <c r="Z136" s="128">
        <f t="shared" si="274"/>
        <v>0</v>
      </c>
    </row>
    <row r="137" spans="16:26" ht="13.2">
      <c r="P137" s="46"/>
      <c r="Q137" s="46"/>
      <c r="S137" s="128"/>
      <c r="T137" s="128"/>
      <c r="V137" s="75">
        <v>0</v>
      </c>
      <c r="W137" s="75">
        <v>0</v>
      </c>
      <c r="X137" s="20">
        <f>'res bld calcs'!G128-R137</f>
        <v>0</v>
      </c>
      <c r="Y137" s="128">
        <f t="shared" ref="Y137:Z137" si="275">$X137*V137</f>
        <v>0</v>
      </c>
      <c r="Z137" s="128">
        <f t="shared" si="275"/>
        <v>0</v>
      </c>
    </row>
    <row r="138" spans="16:26" ht="13.2">
      <c r="P138" s="46"/>
      <c r="Q138" s="46"/>
      <c r="S138" s="128"/>
      <c r="T138" s="128"/>
      <c r="V138" s="75">
        <v>0</v>
      </c>
      <c r="W138" s="75">
        <v>0</v>
      </c>
      <c r="X138" s="20">
        <f>'res bld calcs'!G129-R138</f>
        <v>0</v>
      </c>
      <c r="Y138" s="128">
        <f t="shared" ref="Y138:Z138" si="276">$X138*V138</f>
        <v>0</v>
      </c>
      <c r="Z138" s="128">
        <f t="shared" si="276"/>
        <v>0</v>
      </c>
    </row>
    <row r="139" spans="16:26" ht="13.2">
      <c r="P139" s="46"/>
      <c r="Q139" s="46"/>
      <c r="S139" s="128"/>
      <c r="T139" s="128"/>
      <c r="V139" s="75">
        <v>0</v>
      </c>
      <c r="W139" s="75">
        <v>0</v>
      </c>
      <c r="X139" s="20">
        <f>'res bld calcs'!G130-R139</f>
        <v>0</v>
      </c>
      <c r="Y139" s="128">
        <f t="shared" ref="Y139:Z139" si="277">$X139*V139</f>
        <v>0</v>
      </c>
      <c r="Z139" s="128">
        <f t="shared" si="277"/>
        <v>0</v>
      </c>
    </row>
    <row r="140" spans="16:26" ht="13.2">
      <c r="P140" s="46"/>
      <c r="Q140" s="46"/>
      <c r="S140" s="128"/>
      <c r="T140" s="128"/>
      <c r="V140" s="75">
        <v>0</v>
      </c>
      <c r="W140" s="75">
        <v>0</v>
      </c>
      <c r="X140" s="20">
        <f>'res bld calcs'!G131-R140</f>
        <v>0</v>
      </c>
      <c r="Y140" s="128">
        <f t="shared" ref="Y140:Z140" si="278">$X140*V140</f>
        <v>0</v>
      </c>
      <c r="Z140" s="128">
        <f t="shared" si="278"/>
        <v>0</v>
      </c>
    </row>
    <row r="141" spans="16:26" ht="13.2">
      <c r="P141" s="46"/>
      <c r="Q141" s="46"/>
      <c r="S141" s="128"/>
      <c r="T141" s="128"/>
      <c r="V141" s="75">
        <v>0</v>
      </c>
      <c r="W141" s="75">
        <v>0</v>
      </c>
      <c r="X141" s="20">
        <f>'res bld calcs'!G132-R141</f>
        <v>0</v>
      </c>
      <c r="Y141" s="128">
        <f t="shared" ref="Y141:Z141" si="279">$X141*V141</f>
        <v>0</v>
      </c>
      <c r="Z141" s="128">
        <f t="shared" si="279"/>
        <v>0</v>
      </c>
    </row>
    <row r="142" spans="16:26" ht="13.2">
      <c r="P142" s="46"/>
      <c r="Q142" s="46"/>
      <c r="S142" s="128"/>
      <c r="T142" s="128"/>
      <c r="V142" s="75">
        <v>0</v>
      </c>
      <c r="W142" s="75">
        <v>0</v>
      </c>
      <c r="X142" s="20">
        <f>'res bld calcs'!G133-R142</f>
        <v>0</v>
      </c>
      <c r="Y142" s="128">
        <f t="shared" ref="Y142:Z142" si="280">$X142*V142</f>
        <v>0</v>
      </c>
      <c r="Z142" s="128">
        <f t="shared" si="280"/>
        <v>0</v>
      </c>
    </row>
    <row r="143" spans="16:26" ht="13.2">
      <c r="P143" s="46"/>
      <c r="Q143" s="46"/>
      <c r="S143" s="128"/>
      <c r="T143" s="128"/>
      <c r="V143" s="75">
        <v>0</v>
      </c>
      <c r="W143" s="75">
        <v>0</v>
      </c>
      <c r="X143" s="20">
        <f>'res bld calcs'!G134-R143</f>
        <v>0</v>
      </c>
      <c r="Y143" s="128">
        <f t="shared" ref="Y143:Z143" si="281">$X143*V143</f>
        <v>0</v>
      </c>
      <c r="Z143" s="128">
        <f t="shared" si="281"/>
        <v>0</v>
      </c>
    </row>
    <row r="144" spans="16:26" ht="13.2">
      <c r="P144" s="46"/>
      <c r="Q144" s="46"/>
      <c r="S144" s="128"/>
      <c r="T144" s="128"/>
      <c r="V144" s="75">
        <v>0</v>
      </c>
      <c r="W144" s="75">
        <v>0</v>
      </c>
      <c r="X144" s="20">
        <f>'res bld calcs'!G135-R144</f>
        <v>0</v>
      </c>
      <c r="Y144" s="128">
        <f t="shared" ref="Y144:Z144" si="282">$X144*V144</f>
        <v>0</v>
      </c>
      <c r="Z144" s="128">
        <f t="shared" si="282"/>
        <v>0</v>
      </c>
    </row>
    <row r="145" spans="16:26" ht="13.2">
      <c r="P145" s="46"/>
      <c r="Q145" s="46"/>
      <c r="S145" s="128"/>
      <c r="T145" s="128"/>
      <c r="V145" s="75">
        <v>0</v>
      </c>
      <c r="W145" s="75">
        <v>0</v>
      </c>
      <c r="X145" s="20">
        <f>'res bld calcs'!G136-R145</f>
        <v>0</v>
      </c>
      <c r="Y145" s="128">
        <f t="shared" ref="Y145:Z145" si="283">$X145*V145</f>
        <v>0</v>
      </c>
      <c r="Z145" s="128">
        <f t="shared" si="283"/>
        <v>0</v>
      </c>
    </row>
    <row r="146" spans="16:26" ht="13.2">
      <c r="P146" s="46"/>
      <c r="Q146" s="46"/>
      <c r="S146" s="128"/>
      <c r="T146" s="128"/>
      <c r="V146" s="75">
        <v>0</v>
      </c>
      <c r="W146" s="75">
        <v>0</v>
      </c>
      <c r="X146" s="20">
        <f>'res bld calcs'!G137-R146</f>
        <v>0</v>
      </c>
      <c r="Y146" s="128">
        <f t="shared" ref="Y146:Z146" si="284">$X146*V146</f>
        <v>0</v>
      </c>
      <c r="Z146" s="128">
        <f t="shared" si="284"/>
        <v>0</v>
      </c>
    </row>
    <row r="147" spans="16:26" ht="13.2">
      <c r="P147" s="46"/>
      <c r="Q147" s="46"/>
      <c r="S147" s="128"/>
      <c r="T147" s="128"/>
      <c r="V147" s="75">
        <v>0</v>
      </c>
      <c r="W147" s="75">
        <v>0</v>
      </c>
      <c r="X147" s="20">
        <f>'res bld calcs'!G138-R147</f>
        <v>0</v>
      </c>
      <c r="Y147" s="128">
        <f t="shared" ref="Y147:Z147" si="285">$X147*V147</f>
        <v>0</v>
      </c>
      <c r="Z147" s="128">
        <f t="shared" si="285"/>
        <v>0</v>
      </c>
    </row>
    <row r="148" spans="16:26" ht="13.2">
      <c r="P148" s="46"/>
      <c r="Q148" s="46"/>
      <c r="S148" s="128"/>
      <c r="T148" s="128"/>
      <c r="V148" s="75">
        <v>0</v>
      </c>
      <c r="W148" s="75">
        <v>0</v>
      </c>
      <c r="X148" s="20">
        <f>'res bld calcs'!G139-R148</f>
        <v>0</v>
      </c>
      <c r="Y148" s="128">
        <f t="shared" ref="Y148:Z148" si="286">$X148*V148</f>
        <v>0</v>
      </c>
      <c r="Z148" s="128">
        <f t="shared" si="286"/>
        <v>0</v>
      </c>
    </row>
    <row r="149" spans="16:26" ht="13.2">
      <c r="P149" s="46"/>
      <c r="Q149" s="46"/>
      <c r="S149" s="128"/>
      <c r="T149" s="128"/>
      <c r="V149" s="75">
        <v>0</v>
      </c>
      <c r="W149" s="75">
        <v>0</v>
      </c>
      <c r="X149" s="20">
        <f>'res bld calcs'!G140-R149</f>
        <v>0</v>
      </c>
      <c r="Y149" s="128">
        <f t="shared" ref="Y149:Z149" si="287">$X149*V149</f>
        <v>0</v>
      </c>
      <c r="Z149" s="128">
        <f t="shared" si="287"/>
        <v>0</v>
      </c>
    </row>
    <row r="150" spans="16:26" ht="13.2">
      <c r="P150" s="46"/>
      <c r="Q150" s="46"/>
      <c r="S150" s="128"/>
      <c r="T150" s="128"/>
      <c r="V150" s="75">
        <v>0</v>
      </c>
      <c r="W150" s="75">
        <v>0</v>
      </c>
      <c r="X150" s="20">
        <f>'res bld calcs'!G141-R150</f>
        <v>0</v>
      </c>
      <c r="Y150" s="128">
        <f t="shared" ref="Y150:Z150" si="288">$X150*V150</f>
        <v>0</v>
      </c>
      <c r="Z150" s="128">
        <f t="shared" si="288"/>
        <v>0</v>
      </c>
    </row>
    <row r="151" spans="16:26" ht="13.2">
      <c r="P151" s="46"/>
      <c r="Q151" s="46"/>
      <c r="S151" s="128"/>
      <c r="T151" s="128"/>
      <c r="V151" s="75">
        <v>0</v>
      </c>
      <c r="W151" s="75">
        <v>0</v>
      </c>
      <c r="X151" s="20">
        <f>'res bld calcs'!G142-R151</f>
        <v>0</v>
      </c>
      <c r="Y151" s="128">
        <f t="shared" ref="Y151:Z151" si="289">$X151*V151</f>
        <v>0</v>
      </c>
      <c r="Z151" s="128">
        <f t="shared" si="289"/>
        <v>0</v>
      </c>
    </row>
    <row r="152" spans="16:26" ht="13.2">
      <c r="P152" s="46"/>
      <c r="Q152" s="46"/>
      <c r="S152" s="128"/>
      <c r="T152" s="128"/>
      <c r="V152" s="75">
        <v>0</v>
      </c>
      <c r="W152" s="75">
        <v>0</v>
      </c>
      <c r="X152" s="20">
        <f>'res bld calcs'!G143-R152</f>
        <v>0</v>
      </c>
      <c r="Y152" s="128">
        <f t="shared" ref="Y152:Z152" si="290">$X152*V152</f>
        <v>0</v>
      </c>
      <c r="Z152" s="128">
        <f t="shared" si="290"/>
        <v>0</v>
      </c>
    </row>
    <row r="153" spans="16:26" ht="13.2">
      <c r="P153" s="46"/>
      <c r="Q153" s="46"/>
      <c r="S153" s="128"/>
      <c r="T153" s="128"/>
      <c r="V153" s="75">
        <v>0</v>
      </c>
      <c r="W153" s="75">
        <v>0</v>
      </c>
      <c r="X153" s="20">
        <f>'res bld calcs'!G144-R153</f>
        <v>0</v>
      </c>
      <c r="Y153" s="128">
        <f t="shared" ref="Y153:Z153" si="291">$X153*V153</f>
        <v>0</v>
      </c>
      <c r="Z153" s="128">
        <f t="shared" si="291"/>
        <v>0</v>
      </c>
    </row>
    <row r="154" spans="16:26" ht="13.2">
      <c r="P154" s="46"/>
      <c r="Q154" s="46"/>
      <c r="S154" s="128"/>
      <c r="T154" s="128"/>
      <c r="V154" s="75">
        <v>0</v>
      </c>
      <c r="W154" s="75">
        <v>0</v>
      </c>
      <c r="X154" s="20">
        <f>'res bld calcs'!G145-R154</f>
        <v>0</v>
      </c>
      <c r="Y154" s="128">
        <f t="shared" ref="Y154:Z154" si="292">$X154*V154</f>
        <v>0</v>
      </c>
      <c r="Z154" s="128">
        <f t="shared" si="292"/>
        <v>0</v>
      </c>
    </row>
    <row r="155" spans="16:26" ht="13.2">
      <c r="P155" s="46"/>
      <c r="Q155" s="46"/>
      <c r="S155" s="128"/>
      <c r="T155" s="128"/>
      <c r="V155" s="75">
        <v>0</v>
      </c>
      <c r="W155" s="75">
        <v>0</v>
      </c>
      <c r="X155" s="20">
        <f>'res bld calcs'!G146-R155</f>
        <v>0</v>
      </c>
      <c r="Y155" s="128">
        <f t="shared" ref="Y155:Z155" si="293">$X155*V155</f>
        <v>0</v>
      </c>
      <c r="Z155" s="128">
        <f t="shared" si="293"/>
        <v>0</v>
      </c>
    </row>
    <row r="156" spans="16:26" ht="13.2">
      <c r="P156" s="46"/>
      <c r="Q156" s="46"/>
      <c r="S156" s="128"/>
      <c r="T156" s="128"/>
      <c r="V156" s="75">
        <v>0</v>
      </c>
      <c r="W156" s="75">
        <v>0</v>
      </c>
      <c r="X156" s="20">
        <f>'res bld calcs'!G147-R156</f>
        <v>0</v>
      </c>
      <c r="Y156" s="128">
        <f t="shared" ref="Y156:Z156" si="294">$X156*V156</f>
        <v>0</v>
      </c>
      <c r="Z156" s="128">
        <f t="shared" si="294"/>
        <v>0</v>
      </c>
    </row>
    <row r="157" spans="16:26" ht="13.2">
      <c r="P157" s="46"/>
      <c r="Q157" s="46"/>
      <c r="S157" s="128"/>
      <c r="T157" s="128"/>
      <c r="V157" s="75">
        <v>0</v>
      </c>
      <c r="W157" s="75">
        <v>0</v>
      </c>
      <c r="X157" s="20">
        <f>'res bld calcs'!G148-R157</f>
        <v>0</v>
      </c>
      <c r="Y157" s="128">
        <f t="shared" ref="Y157:Z157" si="295">$X157*V157</f>
        <v>0</v>
      </c>
      <c r="Z157" s="128">
        <f t="shared" si="295"/>
        <v>0</v>
      </c>
    </row>
    <row r="158" spans="16:26" ht="13.2">
      <c r="P158" s="46"/>
      <c r="Q158" s="46"/>
      <c r="S158" s="128"/>
      <c r="T158" s="128"/>
      <c r="V158" s="75">
        <v>0</v>
      </c>
      <c r="W158" s="75">
        <v>0</v>
      </c>
      <c r="X158" s="20">
        <f>'res bld calcs'!G149-R158</f>
        <v>0</v>
      </c>
      <c r="Y158" s="128">
        <f t="shared" ref="Y158:Z158" si="296">$X158*V158</f>
        <v>0</v>
      </c>
      <c r="Z158" s="128">
        <f t="shared" si="296"/>
        <v>0</v>
      </c>
    </row>
    <row r="159" spans="16:26" ht="13.2">
      <c r="P159" s="46"/>
      <c r="Q159" s="46"/>
      <c r="S159" s="128"/>
      <c r="T159" s="128"/>
      <c r="V159" s="75">
        <v>0</v>
      </c>
      <c r="W159" s="75">
        <v>0</v>
      </c>
      <c r="X159" s="20">
        <f>'res bld calcs'!G150-R159</f>
        <v>0</v>
      </c>
      <c r="Y159" s="128">
        <f t="shared" ref="Y159:Z159" si="297">$X159*V159</f>
        <v>0</v>
      </c>
      <c r="Z159" s="128">
        <f t="shared" si="297"/>
        <v>0</v>
      </c>
    </row>
    <row r="160" spans="16:26" ht="13.2">
      <c r="P160" s="46"/>
      <c r="Q160" s="46"/>
      <c r="S160" s="128"/>
      <c r="T160" s="128"/>
      <c r="V160" s="75">
        <v>0</v>
      </c>
      <c r="W160" s="75">
        <v>0</v>
      </c>
      <c r="X160" s="20">
        <f>'res bld calcs'!G151-R160</f>
        <v>0</v>
      </c>
      <c r="Y160" s="128">
        <f t="shared" ref="Y160:Z160" si="298">$X160*V160</f>
        <v>0</v>
      </c>
      <c r="Z160" s="128">
        <f t="shared" si="298"/>
        <v>0</v>
      </c>
    </row>
    <row r="161" spans="16:26" ht="13.2">
      <c r="P161" s="46"/>
      <c r="Q161" s="46"/>
      <c r="S161" s="128"/>
      <c r="T161" s="128"/>
      <c r="V161" s="75">
        <v>0</v>
      </c>
      <c r="W161" s="75">
        <v>0</v>
      </c>
      <c r="X161" s="20">
        <f>'res bld calcs'!G152-R161</f>
        <v>0</v>
      </c>
      <c r="Y161" s="128">
        <f t="shared" ref="Y161:Z161" si="299">$X161*V161</f>
        <v>0</v>
      </c>
      <c r="Z161" s="128">
        <f t="shared" si="299"/>
        <v>0</v>
      </c>
    </row>
    <row r="162" spans="16:26" ht="13.2">
      <c r="P162" s="46"/>
      <c r="Q162" s="46"/>
      <c r="S162" s="128"/>
      <c r="T162" s="128"/>
      <c r="V162" s="75">
        <v>0</v>
      </c>
      <c r="W162" s="75">
        <v>0</v>
      </c>
      <c r="X162" s="20">
        <f>'res bld calcs'!G153-R162</f>
        <v>0</v>
      </c>
      <c r="Y162" s="128">
        <f t="shared" ref="Y162:Z162" si="300">$X162*V162</f>
        <v>0</v>
      </c>
      <c r="Z162" s="128">
        <f t="shared" si="300"/>
        <v>0</v>
      </c>
    </row>
    <row r="163" spans="16:26" ht="13.2">
      <c r="P163" s="46"/>
      <c r="Q163" s="46"/>
      <c r="S163" s="128"/>
      <c r="T163" s="128"/>
      <c r="V163" s="75">
        <v>0</v>
      </c>
      <c r="W163" s="75">
        <v>0</v>
      </c>
      <c r="X163" s="20">
        <f>'res bld calcs'!G154-R163</f>
        <v>0</v>
      </c>
      <c r="Y163" s="128">
        <f t="shared" ref="Y163:Z163" si="301">$X163*V163</f>
        <v>0</v>
      </c>
      <c r="Z163" s="128">
        <f t="shared" si="301"/>
        <v>0</v>
      </c>
    </row>
    <row r="164" spans="16:26" ht="13.2">
      <c r="P164" s="46"/>
      <c r="Q164" s="46"/>
      <c r="S164" s="128"/>
      <c r="T164" s="128"/>
      <c r="V164" s="75">
        <v>0</v>
      </c>
      <c r="W164" s="75">
        <v>0</v>
      </c>
      <c r="X164" s="20">
        <f>'res bld calcs'!G155-R164</f>
        <v>0</v>
      </c>
      <c r="Y164" s="128">
        <f t="shared" ref="Y164:Z164" si="302">$X164*V164</f>
        <v>0</v>
      </c>
      <c r="Z164" s="128">
        <f t="shared" si="302"/>
        <v>0</v>
      </c>
    </row>
    <row r="165" spans="16:26" ht="13.2">
      <c r="P165" s="46"/>
      <c r="Q165" s="46"/>
      <c r="S165" s="128"/>
      <c r="T165" s="128"/>
      <c r="V165" s="75">
        <v>0</v>
      </c>
      <c r="W165" s="75">
        <v>0</v>
      </c>
      <c r="X165" s="20">
        <f>'res bld calcs'!G156-R165</f>
        <v>0</v>
      </c>
      <c r="Y165" s="128">
        <f t="shared" ref="Y165:Z165" si="303">$X165*V165</f>
        <v>0</v>
      </c>
      <c r="Z165" s="128">
        <f t="shared" si="303"/>
        <v>0</v>
      </c>
    </row>
    <row r="166" spans="16:26" ht="13.2">
      <c r="P166" s="46"/>
      <c r="Q166" s="46"/>
      <c r="S166" s="128"/>
      <c r="T166" s="128"/>
      <c r="V166" s="75">
        <v>0</v>
      </c>
      <c r="W166" s="75">
        <v>0</v>
      </c>
      <c r="X166" s="20">
        <f>'res bld calcs'!G157-R166</f>
        <v>0</v>
      </c>
      <c r="Y166" s="128">
        <f t="shared" ref="Y166:Z166" si="304">$X166*V166</f>
        <v>0</v>
      </c>
      <c r="Z166" s="128">
        <f t="shared" si="304"/>
        <v>0</v>
      </c>
    </row>
    <row r="167" spans="16:26" ht="13.2">
      <c r="P167" s="46"/>
      <c r="Q167" s="46"/>
      <c r="S167" s="128"/>
      <c r="T167" s="128"/>
      <c r="V167" s="75">
        <v>0</v>
      </c>
      <c r="W167" s="75">
        <v>0</v>
      </c>
      <c r="X167" s="20">
        <f>'res bld calcs'!G158-R167</f>
        <v>0</v>
      </c>
      <c r="Y167" s="128">
        <f t="shared" ref="Y167:Z167" si="305">$X167*V167</f>
        <v>0</v>
      </c>
      <c r="Z167" s="128">
        <f t="shared" si="305"/>
        <v>0</v>
      </c>
    </row>
    <row r="168" spans="16:26" ht="13.2">
      <c r="P168" s="46"/>
      <c r="Q168" s="46"/>
      <c r="S168" s="128"/>
      <c r="T168" s="128"/>
      <c r="V168" s="75">
        <v>0</v>
      </c>
      <c r="W168" s="75">
        <v>0</v>
      </c>
      <c r="X168" s="20">
        <f>'res bld calcs'!G159-R168</f>
        <v>0</v>
      </c>
      <c r="Y168" s="128">
        <f t="shared" ref="Y168:Z168" si="306">$X168*V168</f>
        <v>0</v>
      </c>
      <c r="Z168" s="128">
        <f t="shared" si="306"/>
        <v>0</v>
      </c>
    </row>
    <row r="169" spans="16:26" ht="13.2">
      <c r="P169" s="46"/>
      <c r="Q169" s="46"/>
      <c r="S169" s="128"/>
      <c r="T169" s="128"/>
      <c r="V169" s="75">
        <v>0</v>
      </c>
      <c r="W169" s="75">
        <v>0</v>
      </c>
      <c r="X169" s="20">
        <f>'res bld calcs'!G160-R169</f>
        <v>0</v>
      </c>
      <c r="Y169" s="128">
        <f t="shared" ref="Y169:Z169" si="307">$X169*V169</f>
        <v>0</v>
      </c>
      <c r="Z169" s="128">
        <f t="shared" si="307"/>
        <v>0</v>
      </c>
    </row>
    <row r="170" spans="16:26" ht="13.2">
      <c r="P170" s="46"/>
      <c r="Q170" s="46"/>
      <c r="S170" s="128"/>
      <c r="T170" s="128"/>
      <c r="V170" s="75">
        <v>0</v>
      </c>
      <c r="W170" s="75">
        <v>0</v>
      </c>
      <c r="X170" s="20">
        <f>'res bld calcs'!G161-R170</f>
        <v>0</v>
      </c>
      <c r="Y170" s="128">
        <f t="shared" ref="Y170:Z170" si="308">$X170*V170</f>
        <v>0</v>
      </c>
      <c r="Z170" s="128">
        <f t="shared" si="308"/>
        <v>0</v>
      </c>
    </row>
    <row r="171" spans="16:26" ht="13.2">
      <c r="P171" s="46"/>
      <c r="Q171" s="46"/>
      <c r="S171" s="128"/>
      <c r="T171" s="128"/>
      <c r="V171" s="75">
        <v>0</v>
      </c>
      <c r="W171" s="75">
        <v>0</v>
      </c>
      <c r="X171" s="20">
        <f>'res bld calcs'!G162-R171</f>
        <v>0</v>
      </c>
      <c r="Y171" s="128">
        <f t="shared" ref="Y171:Z171" si="309">$X171*V171</f>
        <v>0</v>
      </c>
      <c r="Z171" s="128">
        <f t="shared" si="309"/>
        <v>0</v>
      </c>
    </row>
    <row r="172" spans="16:26" ht="13.2">
      <c r="P172" s="46"/>
      <c r="Q172" s="46"/>
      <c r="S172" s="128"/>
      <c r="T172" s="128"/>
      <c r="V172" s="75">
        <v>0</v>
      </c>
      <c r="W172" s="75">
        <v>0</v>
      </c>
      <c r="X172" s="20">
        <f>'res bld calcs'!G163-R172</f>
        <v>0</v>
      </c>
      <c r="Y172" s="128">
        <f t="shared" ref="Y172:Z172" si="310">$X172*V172</f>
        <v>0</v>
      </c>
      <c r="Z172" s="128">
        <f t="shared" si="310"/>
        <v>0</v>
      </c>
    </row>
    <row r="173" spans="16:26" ht="13.2">
      <c r="P173" s="46"/>
      <c r="Q173" s="46"/>
      <c r="S173" s="128"/>
      <c r="T173" s="128"/>
      <c r="V173" s="75">
        <v>0</v>
      </c>
      <c r="W173" s="75">
        <v>0</v>
      </c>
      <c r="X173" s="20">
        <f>'res bld calcs'!G164-R173</f>
        <v>0</v>
      </c>
      <c r="Y173" s="128">
        <f t="shared" ref="Y173:Z173" si="311">$X173*V173</f>
        <v>0</v>
      </c>
      <c r="Z173" s="128">
        <f t="shared" si="311"/>
        <v>0</v>
      </c>
    </row>
    <row r="174" spans="16:26" ht="13.2">
      <c r="P174" s="46"/>
      <c r="Q174" s="46"/>
      <c r="S174" s="128"/>
      <c r="T174" s="128"/>
      <c r="V174" s="75">
        <v>0</v>
      </c>
      <c r="W174" s="75">
        <v>0</v>
      </c>
      <c r="X174" s="20">
        <f>'res bld calcs'!G165-R174</f>
        <v>0</v>
      </c>
      <c r="Y174" s="128">
        <f t="shared" ref="Y174:Z174" si="312">$X174*V174</f>
        <v>0</v>
      </c>
      <c r="Z174" s="128">
        <f t="shared" si="312"/>
        <v>0</v>
      </c>
    </row>
    <row r="175" spans="16:26" ht="13.2">
      <c r="P175" s="46"/>
      <c r="Q175" s="46"/>
      <c r="S175" s="128"/>
      <c r="T175" s="128"/>
      <c r="V175" s="75">
        <v>0</v>
      </c>
      <c r="W175" s="75">
        <v>0</v>
      </c>
      <c r="X175" s="20">
        <f>'res bld calcs'!G166-R175</f>
        <v>0</v>
      </c>
      <c r="Y175" s="128">
        <f t="shared" ref="Y175:Z175" si="313">$X175*V175</f>
        <v>0</v>
      </c>
      <c r="Z175" s="128">
        <f t="shared" si="313"/>
        <v>0</v>
      </c>
    </row>
    <row r="176" spans="16:26" ht="13.2">
      <c r="P176" s="46"/>
      <c r="Q176" s="46"/>
      <c r="S176" s="128"/>
      <c r="T176" s="128"/>
      <c r="V176" s="75">
        <v>0</v>
      </c>
      <c r="W176" s="75">
        <v>0</v>
      </c>
      <c r="X176" s="20">
        <f>'res bld calcs'!G167-R176</f>
        <v>0</v>
      </c>
      <c r="Y176" s="128">
        <f t="shared" ref="Y176:Z176" si="314">$X176*V176</f>
        <v>0</v>
      </c>
      <c r="Z176" s="128">
        <f t="shared" si="314"/>
        <v>0</v>
      </c>
    </row>
    <row r="177" spans="16:26" ht="13.2">
      <c r="P177" s="46"/>
      <c r="Q177" s="46"/>
      <c r="S177" s="128"/>
      <c r="T177" s="128"/>
      <c r="V177" s="75">
        <v>0</v>
      </c>
      <c r="W177" s="75">
        <v>0</v>
      </c>
      <c r="X177" s="20">
        <f>'res bld calcs'!G168-R177</f>
        <v>0</v>
      </c>
      <c r="Y177" s="128">
        <f t="shared" ref="Y177:Z177" si="315">$X177*V177</f>
        <v>0</v>
      </c>
      <c r="Z177" s="128">
        <f t="shared" si="315"/>
        <v>0</v>
      </c>
    </row>
    <row r="178" spans="16:26" ht="13.2">
      <c r="P178" s="46"/>
      <c r="Q178" s="46"/>
      <c r="S178" s="128"/>
      <c r="T178" s="128"/>
      <c r="V178" s="75">
        <v>0</v>
      </c>
      <c r="W178" s="75">
        <v>0</v>
      </c>
      <c r="X178" s="20">
        <f>'res bld calcs'!G169-R178</f>
        <v>0</v>
      </c>
      <c r="Y178" s="128">
        <f t="shared" ref="Y178:Z178" si="316">$X178*V178</f>
        <v>0</v>
      </c>
      <c r="Z178" s="128">
        <f t="shared" si="316"/>
        <v>0</v>
      </c>
    </row>
    <row r="179" spans="16:26" ht="13.2">
      <c r="P179" s="46"/>
      <c r="Q179" s="46"/>
      <c r="S179" s="128"/>
      <c r="T179" s="128"/>
      <c r="V179" s="75">
        <v>0</v>
      </c>
      <c r="W179" s="75">
        <v>0</v>
      </c>
      <c r="X179" s="20">
        <f>'res bld calcs'!G170-R179</f>
        <v>0</v>
      </c>
      <c r="Y179" s="128">
        <f t="shared" ref="Y179:Z179" si="317">$X179*V179</f>
        <v>0</v>
      </c>
      <c r="Z179" s="128">
        <f t="shared" si="317"/>
        <v>0</v>
      </c>
    </row>
    <row r="180" spans="16:26" ht="13.2">
      <c r="P180" s="46"/>
      <c r="Q180" s="46"/>
      <c r="S180" s="128"/>
      <c r="T180" s="128"/>
      <c r="V180" s="75">
        <v>0</v>
      </c>
      <c r="W180" s="75">
        <v>0</v>
      </c>
      <c r="X180" s="20">
        <f>'res bld calcs'!G171-R180</f>
        <v>0</v>
      </c>
      <c r="Y180" s="128">
        <f t="shared" ref="Y180:Z180" si="318">$X180*V180</f>
        <v>0</v>
      </c>
      <c r="Z180" s="128">
        <f t="shared" si="318"/>
        <v>0</v>
      </c>
    </row>
    <row r="181" spans="16:26" ht="13.2">
      <c r="P181" s="46"/>
      <c r="Q181" s="46"/>
      <c r="S181" s="128"/>
      <c r="T181" s="128"/>
      <c r="V181" s="75">
        <v>0</v>
      </c>
      <c r="W181" s="75">
        <v>0</v>
      </c>
      <c r="X181" s="20">
        <f>'res bld calcs'!G172-R181</f>
        <v>0</v>
      </c>
      <c r="Y181" s="128">
        <f t="shared" ref="Y181:Z181" si="319">$X181*V181</f>
        <v>0</v>
      </c>
      <c r="Z181" s="128">
        <f t="shared" si="319"/>
        <v>0</v>
      </c>
    </row>
    <row r="182" spans="16:26" ht="13.2">
      <c r="P182" s="46"/>
      <c r="Q182" s="46"/>
      <c r="S182" s="128"/>
      <c r="T182" s="128"/>
      <c r="V182" s="75">
        <v>0</v>
      </c>
      <c r="W182" s="75">
        <v>0</v>
      </c>
      <c r="X182" s="20">
        <f>'res bld calcs'!G173-R182</f>
        <v>0</v>
      </c>
      <c r="Y182" s="128">
        <f t="shared" ref="Y182:Z182" si="320">$X182*V182</f>
        <v>0</v>
      </c>
      <c r="Z182" s="128">
        <f t="shared" si="320"/>
        <v>0</v>
      </c>
    </row>
    <row r="183" spans="16:26" ht="13.2">
      <c r="P183" s="46"/>
      <c r="Q183" s="46"/>
      <c r="S183" s="128"/>
      <c r="T183" s="128"/>
      <c r="V183" s="75">
        <v>0</v>
      </c>
      <c r="W183" s="75">
        <v>0</v>
      </c>
      <c r="X183" s="20">
        <f>'res bld calcs'!G174-R183</f>
        <v>0</v>
      </c>
      <c r="Y183" s="128">
        <f t="shared" ref="Y183:Z183" si="321">$X183*V183</f>
        <v>0</v>
      </c>
      <c r="Z183" s="128">
        <f t="shared" si="321"/>
        <v>0</v>
      </c>
    </row>
    <row r="184" spans="16:26" ht="13.2">
      <c r="P184" s="46"/>
      <c r="Q184" s="46"/>
      <c r="S184" s="128"/>
      <c r="T184" s="128"/>
      <c r="V184" s="75">
        <v>0</v>
      </c>
      <c r="W184" s="75">
        <v>0</v>
      </c>
      <c r="X184" s="20">
        <f>'res bld calcs'!G175-R184</f>
        <v>0</v>
      </c>
      <c r="Y184" s="128">
        <f t="shared" ref="Y184:Z184" si="322">$X184*V184</f>
        <v>0</v>
      </c>
      <c r="Z184" s="128">
        <f t="shared" si="322"/>
        <v>0</v>
      </c>
    </row>
    <row r="185" spans="16:26" ht="13.2">
      <c r="P185" s="46"/>
      <c r="Q185" s="46"/>
      <c r="S185" s="128"/>
      <c r="T185" s="128"/>
      <c r="V185" s="75">
        <v>0</v>
      </c>
      <c r="W185" s="75">
        <v>0</v>
      </c>
      <c r="X185" s="20">
        <f>'res bld calcs'!G176-R185</f>
        <v>0</v>
      </c>
      <c r="Y185" s="128">
        <f t="shared" ref="Y185:Z185" si="323">$X185*V185</f>
        <v>0</v>
      </c>
      <c r="Z185" s="128">
        <f t="shared" si="323"/>
        <v>0</v>
      </c>
    </row>
    <row r="186" spans="16:26" ht="13.2">
      <c r="P186" s="46"/>
      <c r="Q186" s="46"/>
      <c r="S186" s="128"/>
      <c r="T186" s="128"/>
      <c r="V186" s="75">
        <v>0</v>
      </c>
      <c r="W186" s="75">
        <v>0</v>
      </c>
      <c r="X186" s="20">
        <f>'res bld calcs'!G177-R186</f>
        <v>0</v>
      </c>
      <c r="Y186" s="128">
        <f t="shared" ref="Y186:Z186" si="324">$X186*V186</f>
        <v>0</v>
      </c>
      <c r="Z186" s="128">
        <f t="shared" si="324"/>
        <v>0</v>
      </c>
    </row>
    <row r="187" spans="16:26" ht="13.2">
      <c r="P187" s="46"/>
      <c r="Q187" s="46"/>
      <c r="S187" s="128"/>
      <c r="T187" s="128"/>
      <c r="V187" s="75">
        <v>0</v>
      </c>
      <c r="W187" s="75">
        <v>0</v>
      </c>
      <c r="X187" s="20">
        <f>'res bld calcs'!G178-R187</f>
        <v>0</v>
      </c>
      <c r="Y187" s="128">
        <f t="shared" ref="Y187:Z187" si="325">$X187*V187</f>
        <v>0</v>
      </c>
      <c r="Z187" s="128">
        <f t="shared" si="325"/>
        <v>0</v>
      </c>
    </row>
    <row r="188" spans="16:26" ht="13.2">
      <c r="P188" s="46"/>
      <c r="Q188" s="46"/>
      <c r="S188" s="128"/>
      <c r="T188" s="128"/>
      <c r="V188" s="75">
        <v>0</v>
      </c>
      <c r="W188" s="75">
        <v>0</v>
      </c>
      <c r="X188" s="20">
        <f>'res bld calcs'!G179-R188</f>
        <v>0</v>
      </c>
      <c r="Y188" s="128">
        <f t="shared" ref="Y188:Z188" si="326">$X188*V188</f>
        <v>0</v>
      </c>
      <c r="Z188" s="128">
        <f t="shared" si="326"/>
        <v>0</v>
      </c>
    </row>
    <row r="189" spans="16:26" ht="13.2">
      <c r="P189" s="46"/>
      <c r="Q189" s="46"/>
      <c r="S189" s="128"/>
      <c r="T189" s="128"/>
      <c r="V189" s="75">
        <v>0</v>
      </c>
      <c r="W189" s="75">
        <v>0</v>
      </c>
      <c r="X189" s="20">
        <f>'res bld calcs'!G180-R189</f>
        <v>0</v>
      </c>
      <c r="Y189" s="128">
        <f t="shared" ref="Y189:Z189" si="327">$X189*V189</f>
        <v>0</v>
      </c>
      <c r="Z189" s="128">
        <f t="shared" si="327"/>
        <v>0</v>
      </c>
    </row>
    <row r="190" spans="16:26" ht="13.2">
      <c r="P190" s="46"/>
      <c r="Q190" s="46"/>
      <c r="S190" s="128"/>
      <c r="T190" s="128"/>
      <c r="V190" s="75">
        <v>0</v>
      </c>
      <c r="W190" s="75">
        <v>0</v>
      </c>
      <c r="X190" s="20">
        <f>'res bld calcs'!G181-R190</f>
        <v>0</v>
      </c>
      <c r="Y190" s="128">
        <f t="shared" ref="Y190:Z190" si="328">$X190*V190</f>
        <v>0</v>
      </c>
      <c r="Z190" s="128">
        <f t="shared" si="328"/>
        <v>0</v>
      </c>
    </row>
    <row r="191" spans="16:26" ht="13.2">
      <c r="P191" s="46"/>
      <c r="Q191" s="46"/>
      <c r="S191" s="128"/>
      <c r="T191" s="128"/>
      <c r="V191" s="75">
        <v>0</v>
      </c>
      <c r="W191" s="75">
        <v>0</v>
      </c>
      <c r="X191" s="20">
        <f>'res bld calcs'!G182-R191</f>
        <v>0</v>
      </c>
      <c r="Y191" s="128">
        <f t="shared" ref="Y191:Z191" si="329">$X191*V191</f>
        <v>0</v>
      </c>
      <c r="Z191" s="128">
        <f t="shared" si="329"/>
        <v>0</v>
      </c>
    </row>
    <row r="192" spans="16:26" ht="13.2">
      <c r="P192" s="46"/>
      <c r="Q192" s="46"/>
      <c r="S192" s="128"/>
      <c r="T192" s="128"/>
      <c r="V192" s="75">
        <v>0</v>
      </c>
      <c r="W192" s="75">
        <v>0</v>
      </c>
      <c r="X192" s="20">
        <f>'res bld calcs'!G183-R192</f>
        <v>0</v>
      </c>
      <c r="Y192" s="128">
        <f t="shared" ref="Y192:Z192" si="330">$X192*V192</f>
        <v>0</v>
      </c>
      <c r="Z192" s="128">
        <f t="shared" si="330"/>
        <v>0</v>
      </c>
    </row>
    <row r="193" spans="16:26" ht="13.2">
      <c r="P193" s="46"/>
      <c r="Q193" s="46"/>
      <c r="S193" s="128"/>
      <c r="T193" s="128"/>
      <c r="V193" s="75">
        <v>0</v>
      </c>
      <c r="W193" s="75">
        <v>0</v>
      </c>
      <c r="X193" s="20">
        <f>'res bld calcs'!G184-R193</f>
        <v>0</v>
      </c>
      <c r="Y193" s="128">
        <f t="shared" ref="Y193:Z193" si="331">$X193*V193</f>
        <v>0</v>
      </c>
      <c r="Z193" s="128">
        <f t="shared" si="331"/>
        <v>0</v>
      </c>
    </row>
    <row r="194" spans="16:26" ht="13.2">
      <c r="P194" s="46"/>
      <c r="Q194" s="46"/>
      <c r="S194" s="128"/>
      <c r="T194" s="128"/>
      <c r="V194" s="75">
        <v>0</v>
      </c>
      <c r="W194" s="75">
        <v>0</v>
      </c>
      <c r="X194" s="20">
        <f>'res bld calcs'!G185-R194</f>
        <v>0</v>
      </c>
      <c r="Y194" s="128">
        <f t="shared" ref="Y194:Z194" si="332">$X194*V194</f>
        <v>0</v>
      </c>
      <c r="Z194" s="128">
        <f t="shared" si="332"/>
        <v>0</v>
      </c>
    </row>
    <row r="195" spans="16:26" ht="13.2">
      <c r="P195" s="46"/>
      <c r="Q195" s="46"/>
      <c r="S195" s="128"/>
      <c r="T195" s="128"/>
      <c r="V195" s="75">
        <v>0</v>
      </c>
      <c r="W195" s="75">
        <v>0</v>
      </c>
      <c r="X195" s="20">
        <f>'res bld calcs'!G186-R195</f>
        <v>0</v>
      </c>
      <c r="Y195" s="128">
        <f t="shared" ref="Y195:Z195" si="333">$X195*V195</f>
        <v>0</v>
      </c>
      <c r="Z195" s="128">
        <f t="shared" si="333"/>
        <v>0</v>
      </c>
    </row>
    <row r="196" spans="16:26" ht="13.2">
      <c r="P196" s="46"/>
      <c r="Q196" s="46"/>
      <c r="S196" s="128"/>
      <c r="T196" s="128"/>
      <c r="V196" s="75">
        <v>0</v>
      </c>
      <c r="W196" s="75">
        <v>0</v>
      </c>
      <c r="X196" s="20">
        <f>'res bld calcs'!G187-R196</f>
        <v>0</v>
      </c>
      <c r="Y196" s="128">
        <f t="shared" ref="Y196:Z196" si="334">$X196*V196</f>
        <v>0</v>
      </c>
      <c r="Z196" s="128">
        <f t="shared" si="334"/>
        <v>0</v>
      </c>
    </row>
    <row r="197" spans="16:26" ht="13.2">
      <c r="P197" s="46"/>
      <c r="Q197" s="46"/>
      <c r="S197" s="128"/>
      <c r="T197" s="128"/>
      <c r="V197" s="75">
        <v>0</v>
      </c>
      <c r="W197" s="75">
        <v>0</v>
      </c>
      <c r="X197" s="20">
        <f>'res bld calcs'!G188-R197</f>
        <v>0</v>
      </c>
      <c r="Y197" s="128">
        <f t="shared" ref="Y197:Z197" si="335">$X197*V197</f>
        <v>0</v>
      </c>
      <c r="Z197" s="128">
        <f t="shared" si="335"/>
        <v>0</v>
      </c>
    </row>
    <row r="198" spans="16:26" ht="13.2">
      <c r="P198" s="46"/>
      <c r="Q198" s="46"/>
      <c r="S198" s="128"/>
      <c r="T198" s="128"/>
      <c r="V198" s="75">
        <v>0</v>
      </c>
      <c r="W198" s="75">
        <v>0</v>
      </c>
      <c r="X198" s="20">
        <f>'res bld calcs'!G189-R198</f>
        <v>0</v>
      </c>
      <c r="Y198" s="128">
        <f t="shared" ref="Y198:Z198" si="336">$X198*V198</f>
        <v>0</v>
      </c>
      <c r="Z198" s="128">
        <f t="shared" si="336"/>
        <v>0</v>
      </c>
    </row>
    <row r="199" spans="16:26" ht="13.2">
      <c r="P199" s="46"/>
      <c r="Q199" s="46"/>
      <c r="S199" s="128"/>
      <c r="T199" s="128"/>
      <c r="V199" s="75">
        <v>0</v>
      </c>
      <c r="W199" s="75">
        <v>0</v>
      </c>
      <c r="X199" s="20">
        <f>'res bld calcs'!G190-R199</f>
        <v>0</v>
      </c>
      <c r="Y199" s="128">
        <f t="shared" ref="Y199:Z199" si="337">$X199*V199</f>
        <v>0</v>
      </c>
      <c r="Z199" s="128">
        <f t="shared" si="337"/>
        <v>0</v>
      </c>
    </row>
    <row r="200" spans="16:26" ht="13.2">
      <c r="P200" s="46"/>
      <c r="Q200" s="46"/>
      <c r="S200" s="128"/>
      <c r="T200" s="128"/>
      <c r="V200" s="75">
        <v>0</v>
      </c>
      <c r="W200" s="75">
        <v>0</v>
      </c>
      <c r="X200" s="20">
        <f>'res bld calcs'!G191-R200</f>
        <v>0</v>
      </c>
      <c r="Y200" s="128">
        <f t="shared" ref="Y200:Z200" si="338">$X200*V200</f>
        <v>0</v>
      </c>
      <c r="Z200" s="128">
        <f t="shared" si="338"/>
        <v>0</v>
      </c>
    </row>
    <row r="201" spans="16:26" ht="13.2">
      <c r="P201" s="46"/>
      <c r="Q201" s="46"/>
      <c r="S201" s="128"/>
      <c r="T201" s="128"/>
      <c r="V201" s="75">
        <v>0</v>
      </c>
      <c r="W201" s="75">
        <v>0</v>
      </c>
      <c r="X201" s="20">
        <f>'res bld calcs'!G192-R201</f>
        <v>0</v>
      </c>
      <c r="Y201" s="128">
        <f t="shared" ref="Y201:Z201" si="339">$X201*V201</f>
        <v>0</v>
      </c>
      <c r="Z201" s="128">
        <f t="shared" si="339"/>
        <v>0</v>
      </c>
    </row>
    <row r="202" spans="16:26" ht="13.2">
      <c r="P202" s="46"/>
      <c r="Q202" s="46"/>
      <c r="S202" s="128"/>
      <c r="T202" s="128"/>
      <c r="V202" s="75">
        <v>0</v>
      </c>
      <c r="W202" s="75">
        <v>0</v>
      </c>
      <c r="X202" s="20">
        <f>'res bld calcs'!G193-R202</f>
        <v>0</v>
      </c>
      <c r="Y202" s="128">
        <f t="shared" ref="Y202:Z202" si="340">$X202*V202</f>
        <v>0</v>
      </c>
      <c r="Z202" s="128">
        <f t="shared" si="340"/>
        <v>0</v>
      </c>
    </row>
    <row r="203" spans="16:26" ht="13.2">
      <c r="P203" s="46"/>
      <c r="Q203" s="46"/>
      <c r="S203" s="128"/>
      <c r="T203" s="128"/>
      <c r="V203" s="75">
        <v>0</v>
      </c>
      <c r="W203" s="75">
        <v>0</v>
      </c>
      <c r="X203" s="20">
        <f>'res bld calcs'!G194-R203</f>
        <v>0</v>
      </c>
      <c r="Y203" s="128">
        <f t="shared" ref="Y203:Z203" si="341">$X203*V203</f>
        <v>0</v>
      </c>
      <c r="Z203" s="128">
        <f t="shared" si="341"/>
        <v>0</v>
      </c>
    </row>
    <row r="204" spans="16:26" ht="13.2">
      <c r="P204" s="46"/>
      <c r="Q204" s="46"/>
      <c r="S204" s="128"/>
      <c r="T204" s="128"/>
      <c r="V204" s="75">
        <v>0</v>
      </c>
      <c r="W204" s="75">
        <v>0</v>
      </c>
      <c r="X204" s="20">
        <f>'res bld calcs'!G195-R204</f>
        <v>0</v>
      </c>
      <c r="Y204" s="128">
        <f t="shared" ref="Y204:Z204" si="342">$X204*V204</f>
        <v>0</v>
      </c>
      <c r="Z204" s="128">
        <f t="shared" si="342"/>
        <v>0</v>
      </c>
    </row>
    <row r="205" spans="16:26" ht="13.2">
      <c r="P205" s="46"/>
      <c r="Q205" s="46"/>
      <c r="S205" s="128"/>
      <c r="T205" s="128"/>
      <c r="V205" s="75">
        <v>0</v>
      </c>
      <c r="W205" s="75">
        <v>0</v>
      </c>
      <c r="X205" s="20">
        <f>'res bld calcs'!G196-R205</f>
        <v>0</v>
      </c>
      <c r="Y205" s="128">
        <f t="shared" ref="Y205:Z205" si="343">$X205*V205</f>
        <v>0</v>
      </c>
      <c r="Z205" s="128">
        <f t="shared" si="343"/>
        <v>0</v>
      </c>
    </row>
    <row r="206" spans="16:26" ht="13.2">
      <c r="P206" s="46"/>
      <c r="Q206" s="46"/>
      <c r="S206" s="128"/>
      <c r="T206" s="128"/>
      <c r="V206" s="75">
        <v>0</v>
      </c>
      <c r="W206" s="75">
        <v>0</v>
      </c>
      <c r="X206" s="20">
        <f>'res bld calcs'!G197-R206</f>
        <v>0</v>
      </c>
      <c r="Y206" s="128">
        <f t="shared" ref="Y206:Z206" si="344">$X206*V206</f>
        <v>0</v>
      </c>
      <c r="Z206" s="128">
        <f t="shared" si="344"/>
        <v>0</v>
      </c>
    </row>
    <row r="207" spans="16:26" ht="13.2">
      <c r="P207" s="46"/>
      <c r="Q207" s="46"/>
      <c r="S207" s="128"/>
      <c r="T207" s="128"/>
      <c r="V207" s="75">
        <v>0</v>
      </c>
      <c r="W207" s="75">
        <v>0</v>
      </c>
      <c r="X207" s="20">
        <f>'res bld calcs'!G198-R207</f>
        <v>0</v>
      </c>
      <c r="Y207" s="128">
        <f t="shared" ref="Y207:Z207" si="345">$X207*V207</f>
        <v>0</v>
      </c>
      <c r="Z207" s="128">
        <f t="shared" si="345"/>
        <v>0</v>
      </c>
    </row>
    <row r="208" spans="16:26" ht="13.2">
      <c r="P208" s="46"/>
      <c r="Q208" s="46"/>
      <c r="S208" s="128"/>
      <c r="T208" s="128"/>
      <c r="V208" s="75">
        <v>0</v>
      </c>
      <c r="W208" s="75">
        <v>0</v>
      </c>
      <c r="X208" s="20">
        <f>'res bld calcs'!G199-R208</f>
        <v>0</v>
      </c>
      <c r="Y208" s="128">
        <f t="shared" ref="Y208:Z208" si="346">$X208*V208</f>
        <v>0</v>
      </c>
      <c r="Z208" s="128">
        <f t="shared" si="346"/>
        <v>0</v>
      </c>
    </row>
    <row r="209" spans="16:26" ht="13.2">
      <c r="P209" s="46"/>
      <c r="Q209" s="46"/>
      <c r="S209" s="128"/>
      <c r="T209" s="128"/>
      <c r="V209" s="75">
        <v>0</v>
      </c>
      <c r="W209" s="75">
        <v>0</v>
      </c>
      <c r="X209" s="20">
        <f>'res bld calcs'!G200-R209</f>
        <v>0</v>
      </c>
      <c r="Y209" s="128">
        <f t="shared" ref="Y209:Z209" si="347">$X209*V209</f>
        <v>0</v>
      </c>
      <c r="Z209" s="128">
        <f t="shared" si="347"/>
        <v>0</v>
      </c>
    </row>
    <row r="210" spans="16:26" ht="13.2">
      <c r="P210" s="46"/>
      <c r="Q210" s="46"/>
      <c r="S210" s="128"/>
      <c r="T210" s="128"/>
      <c r="V210" s="75">
        <v>0</v>
      </c>
      <c r="W210" s="75">
        <v>0</v>
      </c>
      <c r="X210" s="20">
        <f>'res bld calcs'!G201-R210</f>
        <v>0</v>
      </c>
      <c r="Y210" s="128">
        <f t="shared" ref="Y210:Z210" si="348">$X210*V210</f>
        <v>0</v>
      </c>
      <c r="Z210" s="128">
        <f t="shared" si="348"/>
        <v>0</v>
      </c>
    </row>
    <row r="211" spans="16:26" ht="13.2">
      <c r="P211" s="46"/>
      <c r="Q211" s="46"/>
      <c r="S211" s="128"/>
      <c r="T211" s="128"/>
      <c r="V211" s="75">
        <v>0</v>
      </c>
      <c r="W211" s="75">
        <v>0</v>
      </c>
      <c r="X211" s="20">
        <f>'res bld calcs'!G202-R211</f>
        <v>0</v>
      </c>
      <c r="Y211" s="128">
        <f t="shared" ref="Y211:Z211" si="349">$X211*V211</f>
        <v>0</v>
      </c>
      <c r="Z211" s="128">
        <f t="shared" si="349"/>
        <v>0</v>
      </c>
    </row>
    <row r="212" spans="16:26" ht="13.2">
      <c r="P212" s="46"/>
      <c r="Q212" s="46"/>
      <c r="S212" s="128"/>
      <c r="T212" s="128"/>
      <c r="V212" s="75">
        <v>0</v>
      </c>
      <c r="W212" s="75">
        <v>0</v>
      </c>
      <c r="X212" s="20">
        <f>'res bld calcs'!G203-R212</f>
        <v>0</v>
      </c>
      <c r="Y212" s="128">
        <f t="shared" ref="Y212:Z212" si="350">$X212*V212</f>
        <v>0</v>
      </c>
      <c r="Z212" s="128">
        <f t="shared" si="350"/>
        <v>0</v>
      </c>
    </row>
    <row r="213" spans="16:26" ht="13.2">
      <c r="P213" s="46"/>
      <c r="Q213" s="46"/>
      <c r="S213" s="128"/>
      <c r="T213" s="128"/>
      <c r="V213" s="75">
        <v>0</v>
      </c>
      <c r="W213" s="75">
        <v>0</v>
      </c>
      <c r="X213" s="20">
        <f>'res bld calcs'!G204-R213</f>
        <v>0</v>
      </c>
      <c r="Y213" s="128">
        <f t="shared" ref="Y213:Z213" si="351">$X213*V213</f>
        <v>0</v>
      </c>
      <c r="Z213" s="128">
        <f t="shared" si="351"/>
        <v>0</v>
      </c>
    </row>
    <row r="214" spans="16:26" ht="13.2">
      <c r="P214" s="46"/>
      <c r="Q214" s="46"/>
      <c r="S214" s="128"/>
      <c r="T214" s="128"/>
      <c r="V214" s="75">
        <v>0</v>
      </c>
      <c r="W214" s="75">
        <v>0</v>
      </c>
      <c r="X214" s="20">
        <f>'res bld calcs'!G205-R214</f>
        <v>0</v>
      </c>
      <c r="Y214" s="128">
        <f t="shared" ref="Y214:Z214" si="352">$X214*V214</f>
        <v>0</v>
      </c>
      <c r="Z214" s="128">
        <f t="shared" si="352"/>
        <v>0</v>
      </c>
    </row>
    <row r="215" spans="16:26" ht="13.2">
      <c r="P215" s="46"/>
      <c r="Q215" s="46"/>
      <c r="S215" s="128"/>
      <c r="T215" s="128"/>
      <c r="V215" s="75">
        <v>0</v>
      </c>
      <c r="W215" s="75">
        <v>0</v>
      </c>
      <c r="X215" s="20">
        <f>'res bld calcs'!G206-R215</f>
        <v>0</v>
      </c>
      <c r="Y215" s="128">
        <f t="shared" ref="Y215:Z215" si="353">$X215*V215</f>
        <v>0</v>
      </c>
      <c r="Z215" s="128">
        <f t="shared" si="353"/>
        <v>0</v>
      </c>
    </row>
    <row r="216" spans="16:26" ht="13.2">
      <c r="P216" s="46"/>
      <c r="Q216" s="46"/>
      <c r="S216" s="128"/>
      <c r="T216" s="128"/>
      <c r="V216" s="75">
        <v>0</v>
      </c>
      <c r="W216" s="75">
        <v>0</v>
      </c>
      <c r="X216" s="20">
        <f>'res bld calcs'!G207-R216</f>
        <v>0</v>
      </c>
      <c r="Y216" s="128">
        <f t="shared" ref="Y216:Z216" si="354">$X216*V216</f>
        <v>0</v>
      </c>
      <c r="Z216" s="128">
        <f t="shared" si="354"/>
        <v>0</v>
      </c>
    </row>
    <row r="217" spans="16:26" ht="13.2">
      <c r="P217" s="46"/>
      <c r="Q217" s="46"/>
      <c r="S217" s="128"/>
      <c r="T217" s="128"/>
      <c r="V217" s="75">
        <v>0</v>
      </c>
      <c r="W217" s="75">
        <v>0</v>
      </c>
      <c r="X217" s="20">
        <f>'res bld calcs'!G208-R217</f>
        <v>0</v>
      </c>
      <c r="Y217" s="128">
        <f t="shared" ref="Y217:Z217" si="355">$X217*V217</f>
        <v>0</v>
      </c>
      <c r="Z217" s="128">
        <f t="shared" si="355"/>
        <v>0</v>
      </c>
    </row>
    <row r="218" spans="16:26" ht="13.2">
      <c r="P218" s="46"/>
      <c r="Q218" s="46"/>
      <c r="S218" s="128"/>
      <c r="T218" s="128"/>
      <c r="V218" s="75">
        <v>0</v>
      </c>
      <c r="W218" s="75">
        <v>0</v>
      </c>
      <c r="X218" s="20">
        <f>'res bld calcs'!G209-R218</f>
        <v>0</v>
      </c>
      <c r="Y218" s="128">
        <f t="shared" ref="Y218:Z218" si="356">$X218*V218</f>
        <v>0</v>
      </c>
      <c r="Z218" s="128">
        <f t="shared" si="356"/>
        <v>0</v>
      </c>
    </row>
    <row r="219" spans="16:26" ht="13.2">
      <c r="P219" s="46"/>
      <c r="Q219" s="46"/>
      <c r="S219" s="128"/>
      <c r="T219" s="128"/>
      <c r="V219" s="75">
        <v>0</v>
      </c>
      <c r="W219" s="75">
        <v>0</v>
      </c>
      <c r="X219" s="20">
        <f>'res bld calcs'!G210-R219</f>
        <v>0</v>
      </c>
      <c r="Y219" s="128">
        <f t="shared" ref="Y219:Z219" si="357">$X219*V219</f>
        <v>0</v>
      </c>
      <c r="Z219" s="128">
        <f t="shared" si="357"/>
        <v>0</v>
      </c>
    </row>
    <row r="220" spans="16:26" ht="13.2">
      <c r="P220" s="46"/>
      <c r="Q220" s="46"/>
      <c r="S220" s="128"/>
      <c r="T220" s="128"/>
      <c r="V220" s="75">
        <v>0</v>
      </c>
      <c r="W220" s="75">
        <v>0</v>
      </c>
      <c r="X220" s="20">
        <f>'res bld calcs'!G211-R220</f>
        <v>0</v>
      </c>
      <c r="Y220" s="128">
        <f t="shared" ref="Y220:Z220" si="358">$X220*V220</f>
        <v>0</v>
      </c>
      <c r="Z220" s="128">
        <f t="shared" si="358"/>
        <v>0</v>
      </c>
    </row>
    <row r="221" spans="16:26" ht="13.2">
      <c r="P221" s="46"/>
      <c r="Q221" s="46"/>
      <c r="S221" s="128"/>
      <c r="T221" s="128"/>
      <c r="V221" s="75">
        <v>0</v>
      </c>
      <c r="W221" s="75">
        <v>0</v>
      </c>
      <c r="X221" s="20">
        <f>'res bld calcs'!G212-R221</f>
        <v>0</v>
      </c>
      <c r="Y221" s="128">
        <f t="shared" ref="Y221:Z221" si="359">$X221*V221</f>
        <v>0</v>
      </c>
      <c r="Z221" s="128">
        <f t="shared" si="359"/>
        <v>0</v>
      </c>
    </row>
    <row r="222" spans="16:26" ht="13.2">
      <c r="P222" s="46"/>
      <c r="Q222" s="46"/>
      <c r="S222" s="128"/>
      <c r="T222" s="128"/>
      <c r="V222" s="75">
        <v>0</v>
      </c>
      <c r="W222" s="75">
        <v>0</v>
      </c>
      <c r="X222" s="20">
        <f>'res bld calcs'!G213-R222</f>
        <v>0</v>
      </c>
      <c r="Y222" s="128">
        <f t="shared" ref="Y222:Z222" si="360">$X222*V222</f>
        <v>0</v>
      </c>
      <c r="Z222" s="128">
        <f t="shared" si="360"/>
        <v>0</v>
      </c>
    </row>
    <row r="223" spans="16:26" ht="13.2">
      <c r="P223" s="46"/>
      <c r="Q223" s="46"/>
      <c r="S223" s="128"/>
      <c r="T223" s="128"/>
      <c r="V223" s="75">
        <v>0</v>
      </c>
      <c r="W223" s="75">
        <v>0</v>
      </c>
      <c r="X223" s="20">
        <f>'res bld calcs'!G214-R223</f>
        <v>0</v>
      </c>
      <c r="Y223" s="128">
        <f t="shared" ref="Y223:Z223" si="361">$X223*V223</f>
        <v>0</v>
      </c>
      <c r="Z223" s="128">
        <f t="shared" si="361"/>
        <v>0</v>
      </c>
    </row>
    <row r="224" spans="16:26" ht="13.2">
      <c r="P224" s="46"/>
      <c r="Q224" s="46"/>
      <c r="S224" s="128"/>
      <c r="T224" s="128"/>
      <c r="V224" s="75">
        <v>0</v>
      </c>
      <c r="W224" s="75">
        <v>0</v>
      </c>
      <c r="X224" s="20">
        <f>'res bld calcs'!G215-R224</f>
        <v>0</v>
      </c>
      <c r="Y224" s="128">
        <f t="shared" ref="Y224:Z224" si="362">$X224*V224</f>
        <v>0</v>
      </c>
      <c r="Z224" s="128">
        <f t="shared" si="362"/>
        <v>0</v>
      </c>
    </row>
    <row r="225" spans="16:26" ht="13.2">
      <c r="P225" s="46"/>
      <c r="Q225" s="46"/>
      <c r="S225" s="128"/>
      <c r="T225" s="128"/>
      <c r="V225" s="75">
        <v>0</v>
      </c>
      <c r="W225" s="75">
        <v>0</v>
      </c>
      <c r="X225" s="20">
        <f>'res bld calcs'!G216-R225</f>
        <v>0</v>
      </c>
      <c r="Y225" s="128">
        <f t="shared" ref="Y225:Z225" si="363">$X225*V225</f>
        <v>0</v>
      </c>
      <c r="Z225" s="128">
        <f t="shared" si="363"/>
        <v>0</v>
      </c>
    </row>
    <row r="226" spans="16:26" ht="13.2">
      <c r="P226" s="46"/>
      <c r="Q226" s="46"/>
      <c r="S226" s="128"/>
      <c r="T226" s="128"/>
      <c r="V226" s="75">
        <v>0</v>
      </c>
      <c r="W226" s="75">
        <v>0</v>
      </c>
      <c r="X226" s="20">
        <f>'res bld calcs'!G217-R226</f>
        <v>0</v>
      </c>
      <c r="Y226" s="128">
        <f t="shared" ref="Y226:Z226" si="364">$X226*V226</f>
        <v>0</v>
      </c>
      <c r="Z226" s="128">
        <f t="shared" si="364"/>
        <v>0</v>
      </c>
    </row>
    <row r="227" spans="16:26" ht="13.2">
      <c r="P227" s="46"/>
      <c r="Q227" s="46"/>
      <c r="S227" s="128"/>
      <c r="T227" s="128"/>
      <c r="V227" s="75">
        <v>0</v>
      </c>
      <c r="W227" s="75">
        <v>0</v>
      </c>
      <c r="X227" s="20">
        <f>'res bld calcs'!G218-R227</f>
        <v>0</v>
      </c>
      <c r="Y227" s="128">
        <f t="shared" ref="Y227:Z227" si="365">$X227*V227</f>
        <v>0</v>
      </c>
      <c r="Z227" s="128">
        <f t="shared" si="365"/>
        <v>0</v>
      </c>
    </row>
    <row r="228" spans="16:26" ht="13.2">
      <c r="P228" s="46"/>
      <c r="Q228" s="46"/>
      <c r="S228" s="128"/>
      <c r="T228" s="128"/>
      <c r="V228" s="75">
        <v>0</v>
      </c>
      <c r="W228" s="75">
        <v>0</v>
      </c>
      <c r="X228" s="20">
        <f>'res bld calcs'!G219-R228</f>
        <v>0</v>
      </c>
      <c r="Y228" s="128">
        <f t="shared" ref="Y228:Z228" si="366">$X228*V228</f>
        <v>0</v>
      </c>
      <c r="Z228" s="128">
        <f t="shared" si="366"/>
        <v>0</v>
      </c>
    </row>
    <row r="229" spans="16:26" ht="13.2">
      <c r="P229" s="46"/>
      <c r="Q229" s="46"/>
      <c r="S229" s="128"/>
      <c r="T229" s="128"/>
      <c r="V229" s="75">
        <v>0</v>
      </c>
      <c r="W229" s="75">
        <v>0</v>
      </c>
      <c r="X229" s="20">
        <f>'res bld calcs'!G220-R229</f>
        <v>0</v>
      </c>
      <c r="Y229" s="128">
        <f t="shared" ref="Y229:Z229" si="367">$X229*V229</f>
        <v>0</v>
      </c>
      <c r="Z229" s="128">
        <f t="shared" si="367"/>
        <v>0</v>
      </c>
    </row>
    <row r="230" spans="16:26" ht="13.2">
      <c r="P230" s="46"/>
      <c r="Q230" s="46"/>
      <c r="S230" s="128"/>
      <c r="T230" s="128"/>
      <c r="V230" s="75">
        <v>0</v>
      </c>
      <c r="W230" s="75">
        <v>0</v>
      </c>
      <c r="X230" s="20">
        <f>'res bld calcs'!G221-R230</f>
        <v>0</v>
      </c>
      <c r="Y230" s="128">
        <f t="shared" ref="Y230:Z230" si="368">$X230*V230</f>
        <v>0</v>
      </c>
      <c r="Z230" s="128">
        <f t="shared" si="368"/>
        <v>0</v>
      </c>
    </row>
    <row r="231" spans="16:26" ht="13.2">
      <c r="P231" s="46"/>
      <c r="Q231" s="46"/>
      <c r="S231" s="128"/>
      <c r="T231" s="128"/>
      <c r="V231" s="75">
        <v>0</v>
      </c>
      <c r="W231" s="75">
        <v>0</v>
      </c>
      <c r="X231" s="20">
        <f>'res bld calcs'!G222-R231</f>
        <v>0</v>
      </c>
      <c r="Y231" s="128">
        <f t="shared" ref="Y231:Z231" si="369">$X231*V231</f>
        <v>0</v>
      </c>
      <c r="Z231" s="128">
        <f t="shared" si="369"/>
        <v>0</v>
      </c>
    </row>
    <row r="232" spans="16:26" ht="13.2">
      <c r="P232" s="46"/>
      <c r="Q232" s="46"/>
      <c r="S232" s="128"/>
      <c r="T232" s="128"/>
      <c r="V232" s="75">
        <v>0</v>
      </c>
      <c r="W232" s="75">
        <v>0</v>
      </c>
      <c r="X232" s="20">
        <f>'res bld calcs'!G223-R232</f>
        <v>0</v>
      </c>
      <c r="Y232" s="128">
        <f t="shared" ref="Y232:Z232" si="370">$X232*V232</f>
        <v>0</v>
      </c>
      <c r="Z232" s="128">
        <f t="shared" si="370"/>
        <v>0</v>
      </c>
    </row>
    <row r="233" spans="16:26" ht="13.2">
      <c r="P233" s="46"/>
      <c r="Q233" s="46"/>
      <c r="S233" s="128"/>
      <c r="T233" s="128"/>
      <c r="V233" s="75">
        <v>0</v>
      </c>
      <c r="W233" s="75">
        <v>0</v>
      </c>
      <c r="X233" s="20">
        <f>'res bld calcs'!G224-R233</f>
        <v>0</v>
      </c>
      <c r="Y233" s="128">
        <f t="shared" ref="Y233:Z233" si="371">$X233*V233</f>
        <v>0</v>
      </c>
      <c r="Z233" s="128">
        <f t="shared" si="371"/>
        <v>0</v>
      </c>
    </row>
    <row r="234" spans="16:26" ht="13.2">
      <c r="P234" s="46"/>
      <c r="Q234" s="46"/>
      <c r="S234" s="128"/>
      <c r="T234" s="128"/>
      <c r="V234" s="75">
        <v>0</v>
      </c>
      <c r="W234" s="75">
        <v>0</v>
      </c>
      <c r="X234" s="20">
        <f>'res bld calcs'!G225-R234</f>
        <v>0</v>
      </c>
      <c r="Y234" s="128">
        <f t="shared" ref="Y234:Z234" si="372">$X234*V234</f>
        <v>0</v>
      </c>
      <c r="Z234" s="128">
        <f t="shared" si="372"/>
        <v>0</v>
      </c>
    </row>
    <row r="235" spans="16:26" ht="13.2">
      <c r="P235" s="46"/>
      <c r="Q235" s="46"/>
      <c r="S235" s="128"/>
      <c r="T235" s="128"/>
      <c r="V235" s="75">
        <v>0</v>
      </c>
      <c r="W235" s="75">
        <v>0</v>
      </c>
      <c r="X235" s="20">
        <f>'res bld calcs'!G226-R235</f>
        <v>0</v>
      </c>
      <c r="Y235" s="128">
        <f t="shared" ref="Y235:Z235" si="373">$X235*V235</f>
        <v>0</v>
      </c>
      <c r="Z235" s="128">
        <f t="shared" si="373"/>
        <v>0</v>
      </c>
    </row>
  </sheetData>
  <conditionalFormatting sqref="F10:F31 F35:F37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F0"/>
    <outlinePr summaryBelow="0" summaryRight="0"/>
  </sheetPr>
  <dimension ref="A1:H36"/>
  <sheetViews>
    <sheetView workbookViewId="0">
      <selection activeCell="A15" sqref="A15:XFD15"/>
    </sheetView>
  </sheetViews>
  <sheetFormatPr defaultColWidth="12.5546875" defaultRowHeight="15.75" customHeight="1"/>
  <cols>
    <col min="1" max="1" width="27.5546875" customWidth="1"/>
  </cols>
  <sheetData>
    <row r="1" spans="1:8" s="249" customFormat="1" ht="36.6" customHeight="1">
      <c r="A1" s="249" t="s">
        <v>748</v>
      </c>
    </row>
    <row r="2" spans="1:8" s="233" customFormat="1" ht="13.2">
      <c r="A2" s="232" t="s">
        <v>601</v>
      </c>
    </row>
    <row r="3" spans="1:8" ht="13.2">
      <c r="B3" s="139">
        <v>2026</v>
      </c>
      <c r="C3" s="139">
        <v>2027</v>
      </c>
      <c r="D3" s="139">
        <v>2028</v>
      </c>
      <c r="E3" s="140">
        <v>2029</v>
      </c>
      <c r="F3" s="139">
        <v>2030</v>
      </c>
      <c r="G3" s="139">
        <v>2050</v>
      </c>
    </row>
    <row r="4" spans="1:8" ht="13.2">
      <c r="A4" s="45" t="s">
        <v>569</v>
      </c>
      <c r="B4" s="9">
        <f>'Project #4 - Res Building New B'!B33</f>
        <v>0</v>
      </c>
      <c r="C4" s="9">
        <f>'Project #4 - Res Building New B'!C33</f>
        <v>10</v>
      </c>
      <c r="D4" s="9">
        <f>'Project #4 - Res Building New B'!D33</f>
        <v>50</v>
      </c>
      <c r="E4" s="9">
        <f>'Project #4 - Res Building New B'!E33</f>
        <v>100</v>
      </c>
      <c r="F4" s="9">
        <f>'Project #4 - Res Building New B'!F33</f>
        <v>200</v>
      </c>
      <c r="G4" s="9">
        <f>'Project #4 - Res Building New B'!G33</f>
        <v>200</v>
      </c>
    </row>
    <row r="5" spans="1:8" ht="13.2">
      <c r="A5" s="45" t="s">
        <v>600</v>
      </c>
      <c r="B5" s="9">
        <f>'Project #4 - Res Building New B'!B34</f>
        <v>0</v>
      </c>
      <c r="C5" s="9">
        <f>'Project #4 - Res Building New B'!C34</f>
        <v>8.0693067001282301E-2</v>
      </c>
      <c r="D5" s="9">
        <f>'Project #4 - Res Building New B'!D34</f>
        <v>0.40346533500641163</v>
      </c>
      <c r="E5" s="9">
        <f>'Project #4 - Res Building New B'!E34</f>
        <v>0.80693067001282326</v>
      </c>
      <c r="F5" s="9">
        <f>'Project #4 - Res Building New B'!F34</f>
        <v>1.6138613400256465</v>
      </c>
      <c r="G5" s="9">
        <f>'Project #4 - Res Building New B'!G34</f>
        <v>1.6138613400256465</v>
      </c>
    </row>
    <row r="7" spans="1:8" ht="13.2">
      <c r="A7" s="20" t="s">
        <v>602</v>
      </c>
      <c r="C7" s="21">
        <f t="shared" ref="C7:G7" si="0">C4-B4</f>
        <v>10</v>
      </c>
      <c r="D7" s="21">
        <f t="shared" si="0"/>
        <v>40</v>
      </c>
      <c r="E7" s="21">
        <f t="shared" si="0"/>
        <v>50</v>
      </c>
      <c r="F7" s="21">
        <f t="shared" si="0"/>
        <v>100</v>
      </c>
      <c r="G7" s="21">
        <f t="shared" si="0"/>
        <v>0</v>
      </c>
    </row>
    <row r="8" spans="1:8" ht="13.2">
      <c r="A8" s="2" t="s">
        <v>533</v>
      </c>
      <c r="C8" s="46">
        <f t="shared" ref="C8:G8" si="1">C5-B5</f>
        <v>8.0693067001282301E-2</v>
      </c>
      <c r="D8" s="46">
        <f t="shared" si="1"/>
        <v>0.32277226800512931</v>
      </c>
      <c r="E8" s="46">
        <f t="shared" si="1"/>
        <v>0.40346533500641163</v>
      </c>
      <c r="F8" s="46">
        <f t="shared" si="1"/>
        <v>0.80693067001282326</v>
      </c>
      <c r="G8" s="46">
        <f t="shared" si="1"/>
        <v>0</v>
      </c>
    </row>
    <row r="10" spans="1:8" ht="13.2">
      <c r="A10" s="20" t="s">
        <v>603</v>
      </c>
      <c r="B10" s="127">
        <f t="shared" ref="B10:G10" si="2">B7*$B$29</f>
        <v>0</v>
      </c>
      <c r="C10" s="127">
        <f t="shared" si="2"/>
        <v>817500</v>
      </c>
      <c r="D10" s="127">
        <f t="shared" si="2"/>
        <v>3270000</v>
      </c>
      <c r="E10" s="127">
        <f t="shared" si="2"/>
        <v>4087500</v>
      </c>
      <c r="F10" s="127">
        <f t="shared" si="2"/>
        <v>8175000</v>
      </c>
      <c r="G10" s="127">
        <f t="shared" si="2"/>
        <v>0</v>
      </c>
      <c r="H10" s="127">
        <f t="shared" ref="H10:H12" si="3">SUM(B10:G10)</f>
        <v>16350000</v>
      </c>
    </row>
    <row r="11" spans="1:8" ht="13.2">
      <c r="A11" s="20" t="s">
        <v>604</v>
      </c>
      <c r="B11" s="127">
        <f t="shared" ref="B11:G11" si="4">B8*B35*1000</f>
        <v>0</v>
      </c>
      <c r="C11" s="127">
        <f t="shared" si="4"/>
        <v>195277.22214310316</v>
      </c>
      <c r="D11" s="127">
        <f t="shared" si="4"/>
        <v>747217.80043187435</v>
      </c>
      <c r="E11" s="127">
        <f t="shared" si="4"/>
        <v>891254.92502916325</v>
      </c>
      <c r="F11" s="127">
        <f t="shared" si="4"/>
        <v>1697782.1297069802</v>
      </c>
      <c r="G11" s="127">
        <f t="shared" si="4"/>
        <v>0</v>
      </c>
      <c r="H11" s="127">
        <f t="shared" si="3"/>
        <v>3531532.0773111209</v>
      </c>
    </row>
    <row r="12" spans="1:8" ht="13.2">
      <c r="A12" s="20" t="s">
        <v>605</v>
      </c>
      <c r="B12" s="127">
        <f t="shared" ref="B12:G12" si="5">B5*1000*B36</f>
        <v>0</v>
      </c>
      <c r="C12" s="127">
        <f t="shared" si="5"/>
        <v>2098.0197420333398</v>
      </c>
      <c r="D12" s="127">
        <f t="shared" si="5"/>
        <v>10086.633375160291</v>
      </c>
      <c r="E12" s="127">
        <f t="shared" si="5"/>
        <v>19366.336080307759</v>
      </c>
      <c r="F12" s="127">
        <f t="shared" si="5"/>
        <v>37118.810820589868</v>
      </c>
      <c r="G12" s="127">
        <f t="shared" si="5"/>
        <v>22594.05876035905</v>
      </c>
      <c r="H12" s="127">
        <f t="shared" si="3"/>
        <v>91263.858778450303</v>
      </c>
    </row>
    <row r="13" spans="1:8" ht="13.2">
      <c r="H13" s="127">
        <f>SUM(H9:H12)</f>
        <v>19972795.936089572</v>
      </c>
    </row>
    <row r="15" spans="1:8" s="233" customFormat="1" ht="13.2">
      <c r="A15" s="232" t="s">
        <v>606</v>
      </c>
    </row>
    <row r="16" spans="1:8" ht="13.2">
      <c r="B16" s="139">
        <v>2026</v>
      </c>
      <c r="C16" s="139">
        <v>2027</v>
      </c>
      <c r="D16" s="139">
        <v>2028</v>
      </c>
      <c r="E16" s="140">
        <v>2029</v>
      </c>
      <c r="F16" s="139">
        <v>2030</v>
      </c>
      <c r="G16" s="139">
        <v>2050</v>
      </c>
    </row>
    <row r="17" spans="1:8" ht="13.2">
      <c r="A17" s="45" t="s">
        <v>569</v>
      </c>
      <c r="B17" s="9">
        <f>'Project #4 - Res Building Retro'!B33</f>
        <v>0</v>
      </c>
      <c r="C17" s="9">
        <f>'Project #4 - Res Building Retro'!C33</f>
        <v>10</v>
      </c>
      <c r="D17" s="9">
        <f>'Project #4 - Res Building Retro'!D33</f>
        <v>50</v>
      </c>
      <c r="E17" s="9">
        <f>'Project #4 - Res Building Retro'!E33</f>
        <v>100</v>
      </c>
      <c r="F17" s="9">
        <f>'Project #4 - Res Building Retro'!F33</f>
        <v>300</v>
      </c>
      <c r="G17" s="9">
        <f>'Project #4 - Res Building Retro'!G33</f>
        <v>300</v>
      </c>
    </row>
    <row r="18" spans="1:8" ht="13.2">
      <c r="A18" s="45" t="s">
        <v>600</v>
      </c>
      <c r="B18" s="107">
        <f>'Project #4 - Res Building Retro'!B34</f>
        <v>0</v>
      </c>
      <c r="C18" s="107">
        <f>'Project #4 - Res Building Retro'!C34</f>
        <v>8.0693067001282301E-2</v>
      </c>
      <c r="D18" s="107">
        <f>'Project #4 - Res Building Retro'!D34</f>
        <v>0.40346533500641163</v>
      </c>
      <c r="E18" s="107">
        <f>'Project #4 - Res Building Retro'!E34</f>
        <v>0.80693067001282326</v>
      </c>
      <c r="F18" s="107">
        <f>'Project #4 - Res Building Retro'!F34</f>
        <v>2.4207920100384692</v>
      </c>
      <c r="G18" s="107">
        <f>'Project #4 - Res Building Retro'!G34</f>
        <v>2.4207920100384692</v>
      </c>
    </row>
    <row r="20" spans="1:8" ht="13.2">
      <c r="A20" s="20" t="s">
        <v>602</v>
      </c>
      <c r="C20" s="21">
        <f t="shared" ref="C20:G20" si="6">C17-B17</f>
        <v>10</v>
      </c>
      <c r="D20" s="21">
        <f t="shared" si="6"/>
        <v>40</v>
      </c>
      <c r="E20" s="21">
        <f t="shared" si="6"/>
        <v>50</v>
      </c>
      <c r="F20" s="21">
        <f t="shared" si="6"/>
        <v>200</v>
      </c>
      <c r="G20" s="21">
        <f t="shared" si="6"/>
        <v>0</v>
      </c>
    </row>
    <row r="21" spans="1:8" ht="13.2">
      <c r="A21" s="2" t="s">
        <v>533</v>
      </c>
      <c r="C21" s="46">
        <f t="shared" ref="C21:G21" si="7">C18-B18</f>
        <v>8.0693067001282301E-2</v>
      </c>
      <c r="D21" s="46">
        <f t="shared" si="7"/>
        <v>0.32277226800512931</v>
      </c>
      <c r="E21" s="46">
        <f t="shared" si="7"/>
        <v>0.40346533500641163</v>
      </c>
      <c r="F21" s="46">
        <f t="shared" si="7"/>
        <v>1.6138613400256459</v>
      </c>
      <c r="G21" s="46">
        <f t="shared" si="7"/>
        <v>0</v>
      </c>
    </row>
    <row r="23" spans="1:8" ht="13.2">
      <c r="A23" s="20" t="s">
        <v>607</v>
      </c>
      <c r="B23" s="127">
        <f t="shared" ref="B23:G23" si="8">B20*$B$28</f>
        <v>0</v>
      </c>
      <c r="C23" s="127">
        <f t="shared" si="8"/>
        <v>1090000</v>
      </c>
      <c r="D23" s="127">
        <f t="shared" si="8"/>
        <v>4360000</v>
      </c>
      <c r="E23" s="127">
        <f t="shared" si="8"/>
        <v>5450000</v>
      </c>
      <c r="F23" s="127">
        <f t="shared" si="8"/>
        <v>21800000</v>
      </c>
      <c r="G23" s="127">
        <f t="shared" si="8"/>
        <v>0</v>
      </c>
      <c r="H23" s="127">
        <f t="shared" ref="H23:H25" si="9">SUM(B23:G23)</f>
        <v>32700000</v>
      </c>
    </row>
    <row r="24" spans="1:8" ht="13.2">
      <c r="A24" s="20" t="s">
        <v>604</v>
      </c>
      <c r="B24" s="127">
        <f t="shared" ref="B24:G24" si="10">B21*B35*1000</f>
        <v>0</v>
      </c>
      <c r="C24" s="127">
        <f t="shared" si="10"/>
        <v>195277.22214310316</v>
      </c>
      <c r="D24" s="127">
        <f t="shared" si="10"/>
        <v>747217.80043187435</v>
      </c>
      <c r="E24" s="127">
        <f t="shared" si="10"/>
        <v>891254.92502916325</v>
      </c>
      <c r="F24" s="127">
        <f t="shared" si="10"/>
        <v>3395564.259413959</v>
      </c>
      <c r="G24" s="127">
        <f t="shared" si="10"/>
        <v>0</v>
      </c>
      <c r="H24" s="127">
        <f t="shared" si="9"/>
        <v>5229314.2070180997</v>
      </c>
    </row>
    <row r="25" spans="1:8" ht="13.2">
      <c r="A25" s="20" t="s">
        <v>605</v>
      </c>
      <c r="B25" s="127">
        <f t="shared" ref="B25:G25" si="11">B18*1000*B36</f>
        <v>0</v>
      </c>
      <c r="C25" s="127">
        <f t="shared" si="11"/>
        <v>2098.0197420333398</v>
      </c>
      <c r="D25" s="127">
        <f t="shared" si="11"/>
        <v>10086.633375160291</v>
      </c>
      <c r="E25" s="127">
        <f t="shared" si="11"/>
        <v>19366.336080307759</v>
      </c>
      <c r="F25" s="127">
        <f t="shared" si="11"/>
        <v>55678.216230884791</v>
      </c>
      <c r="G25" s="127">
        <f t="shared" si="11"/>
        <v>33891.088140538566</v>
      </c>
      <c r="H25" s="127">
        <f t="shared" si="9"/>
        <v>121120.29356892474</v>
      </c>
    </row>
    <row r="26" spans="1:8" ht="13.2">
      <c r="H26" s="127">
        <f>SUM(H22:H25)</f>
        <v>38050434.500587024</v>
      </c>
    </row>
    <row r="28" spans="1:8" ht="13.2">
      <c r="A28" s="20" t="s">
        <v>608</v>
      </c>
      <c r="B28" s="127">
        <f>'Project #3 - VPP+ Costs'!B9</f>
        <v>109000</v>
      </c>
    </row>
    <row r="29" spans="1:8" ht="13.2">
      <c r="A29" s="20" t="s">
        <v>609</v>
      </c>
      <c r="B29" s="127">
        <f>0.75*B28</f>
        <v>81750</v>
      </c>
    </row>
    <row r="33" spans="1:7" ht="13.2">
      <c r="A33" s="2" t="s">
        <v>610</v>
      </c>
      <c r="B33" s="9"/>
      <c r="C33" s="2"/>
      <c r="D33" s="9"/>
      <c r="E33" s="9"/>
      <c r="F33" s="2"/>
      <c r="G33" s="2"/>
    </row>
    <row r="34" spans="1:7" ht="13.2">
      <c r="A34" s="2"/>
      <c r="B34" s="139">
        <v>2026</v>
      </c>
      <c r="C34" s="139">
        <v>2027</v>
      </c>
      <c r="D34" s="139">
        <v>2028</v>
      </c>
      <c r="E34" s="140">
        <v>2029</v>
      </c>
      <c r="F34" s="139">
        <v>2030</v>
      </c>
      <c r="G34" s="139">
        <v>2050</v>
      </c>
    </row>
    <row r="35" spans="1:7" ht="13.2">
      <c r="A35" s="2" t="s">
        <v>538</v>
      </c>
      <c r="B35" s="142">
        <v>2525</v>
      </c>
      <c r="C35" s="142">
        <v>2420</v>
      </c>
      <c r="D35" s="142">
        <v>2315</v>
      </c>
      <c r="E35" s="142">
        <v>2209</v>
      </c>
      <c r="F35" s="142">
        <v>2104</v>
      </c>
      <c r="G35" s="142">
        <v>1119</v>
      </c>
    </row>
    <row r="36" spans="1:7" ht="13.2">
      <c r="A36" s="2" t="s">
        <v>539</v>
      </c>
      <c r="B36" s="142">
        <v>27</v>
      </c>
      <c r="C36" s="142">
        <v>26</v>
      </c>
      <c r="D36" s="142">
        <v>25</v>
      </c>
      <c r="E36" s="142">
        <v>24</v>
      </c>
      <c r="F36" s="142">
        <v>23</v>
      </c>
      <c r="G36" s="142">
        <v>14</v>
      </c>
    </row>
  </sheetData>
  <conditionalFormatting sqref="F3 F16">
    <cfRule type="cellIs" dxfId="4" priority="1" operator="lessThan">
      <formula>0</formula>
    </cfRule>
  </conditionalFormatting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F0"/>
    <outlinePr summaryBelow="0" summaryRight="0"/>
  </sheetPr>
  <dimension ref="A1:O52"/>
  <sheetViews>
    <sheetView workbookViewId="0">
      <selection activeCell="A27" sqref="A27:XFD27"/>
    </sheetView>
  </sheetViews>
  <sheetFormatPr defaultColWidth="12.5546875" defaultRowHeight="15.75" customHeight="1"/>
  <cols>
    <col min="1" max="1" width="16.109375" customWidth="1"/>
  </cols>
  <sheetData>
    <row r="1" spans="1:12" s="250" customFormat="1" ht="30" customHeight="1">
      <c r="A1" s="249" t="s">
        <v>749</v>
      </c>
    </row>
    <row r="2" spans="1:12" ht="13.2">
      <c r="C2" s="73" t="s">
        <v>611</v>
      </c>
      <c r="D2" s="75">
        <f>IF(E2="VPP",'Project #2 - Virtual Power Plan'!I20,HLOOKUP(D4,'Emissions Factors'!$E$50:$AH$51,2,FALSE))</f>
        <v>346.87632125415763</v>
      </c>
      <c r="E2" s="20" t="str">
        <f>'Project Reductions Details'!B48</f>
        <v>Reference</v>
      </c>
    </row>
    <row r="4" spans="1:12" ht="13.2">
      <c r="C4" s="252" t="s">
        <v>2</v>
      </c>
      <c r="D4" s="252">
        <f>'Project Reductions Details'!C3</f>
        <v>2050</v>
      </c>
    </row>
    <row r="5" spans="1:12" ht="13.2">
      <c r="B5" s="122" t="s">
        <v>474</v>
      </c>
    </row>
    <row r="6" spans="1:12" ht="13.2">
      <c r="A6" s="20"/>
      <c r="B6" s="224" t="s">
        <v>51</v>
      </c>
      <c r="C6" s="20"/>
      <c r="G6" s="224" t="s">
        <v>0</v>
      </c>
      <c r="K6" s="21"/>
      <c r="L6" s="21"/>
    </row>
    <row r="7" spans="1:12" ht="13.2">
      <c r="A7" s="222"/>
      <c r="B7" s="221" t="s">
        <v>476</v>
      </c>
      <c r="C7" s="221" t="s">
        <v>477</v>
      </c>
      <c r="D7" s="221" t="s">
        <v>479</v>
      </c>
      <c r="E7" s="221" t="s">
        <v>612</v>
      </c>
      <c r="G7" s="221" t="s">
        <v>482</v>
      </c>
    </row>
    <row r="8" spans="1:12" ht="13.2">
      <c r="A8" s="221" t="s">
        <v>613</v>
      </c>
      <c r="B8" s="221">
        <v>0</v>
      </c>
      <c r="C8" s="227">
        <f>'Project Reductions Details'!B46</f>
        <v>121235</v>
      </c>
      <c r="D8" s="227">
        <f t="shared" ref="D8:D9" si="0">B8*C8</f>
        <v>0</v>
      </c>
      <c r="E8" s="227">
        <f>'Project Reductions Details'!B44</f>
        <v>3</v>
      </c>
      <c r="F8" s="108"/>
      <c r="G8" s="227">
        <f t="shared" ref="G8:G9" si="1">D8+(E8*C8)</f>
        <v>363705</v>
      </c>
      <c r="H8" s="21"/>
      <c r="I8" s="21"/>
      <c r="J8" s="21"/>
      <c r="K8" s="21"/>
    </row>
    <row r="9" spans="1:12" ht="13.2">
      <c r="A9" s="227" t="s">
        <v>614</v>
      </c>
      <c r="B9" s="221">
        <f>'Project Reductions Details'!B45</f>
        <v>3</v>
      </c>
      <c r="C9" s="227">
        <f>'Project Reductions Details'!B47</f>
        <v>56210</v>
      </c>
      <c r="D9" s="227">
        <f t="shared" si="0"/>
        <v>168630</v>
      </c>
      <c r="E9" s="227">
        <v>0</v>
      </c>
      <c r="F9" s="108"/>
      <c r="G9" s="227">
        <f t="shared" si="1"/>
        <v>168630</v>
      </c>
      <c r="H9" s="21"/>
      <c r="I9" s="21"/>
      <c r="J9" s="21"/>
      <c r="K9" s="21"/>
    </row>
    <row r="10" spans="1:12" ht="13.2">
      <c r="A10" s="221" t="s">
        <v>615</v>
      </c>
      <c r="B10" s="222"/>
      <c r="C10" s="222"/>
      <c r="D10" s="227">
        <f ca="1">B23</f>
        <v>1064511.4303068647</v>
      </c>
      <c r="E10" s="222"/>
      <c r="G10" s="222"/>
    </row>
    <row r="11" spans="1:12" ht="13.2">
      <c r="G11" s="221" t="s">
        <v>409</v>
      </c>
      <c r="I11" s="258" t="str">
        <f>CONCATENATE("Net Emissions in ", D4, " (MT CO2e)")</f>
        <v>Net Emissions in 2050 (MT CO2e)</v>
      </c>
    </row>
    <row r="12" spans="1:12" ht="13.2">
      <c r="D12" s="221" t="s">
        <v>616</v>
      </c>
      <c r="F12" s="21"/>
      <c r="G12" s="259">
        <f>D4</f>
        <v>2050</v>
      </c>
      <c r="I12" s="259">
        <f>G12</f>
        <v>2050</v>
      </c>
    </row>
    <row r="13" spans="1:12" ht="13.2">
      <c r="A13" s="221" t="s">
        <v>613</v>
      </c>
      <c r="D13" s="221">
        <f ca="1">D8*VLOOKUP("Montgomery"&amp;B$6,'Clean Fleet Calcs'!$I$3:$Q$8,8,FALSE)</f>
        <v>0</v>
      </c>
      <c r="G13" s="257">
        <f>$G8*'Clean Fleet Calcs'!$F$11/1000000*$D$2</f>
        <v>191.76419168104997</v>
      </c>
      <c r="I13" s="257">
        <f t="shared" ref="I13:I16" ca="1" si="2">G13-$D13</f>
        <v>191.76419168104997</v>
      </c>
    </row>
    <row r="14" spans="1:12" ht="13.2">
      <c r="A14" s="227" t="s">
        <v>614</v>
      </c>
      <c r="D14" s="257">
        <f ca="1">D9*VLOOKUP("Montgomery"&amp;B$6,'Clean Fleet Calcs'!$I$3:$Q$8,8,FALSE)</f>
        <v>134.88038201278715</v>
      </c>
      <c r="G14" s="257">
        <f>$G9*'Clean Fleet Calcs'!$F$11/1000000*$D$2</f>
        <v>88.910506160694666</v>
      </c>
      <c r="I14" s="257">
        <f t="shared" ca="1" si="2"/>
        <v>-45.969875852092486</v>
      </c>
    </row>
    <row r="15" spans="1:12" ht="13.2">
      <c r="A15" s="221" t="s">
        <v>615</v>
      </c>
      <c r="D15" s="257">
        <f ca="1">D10*VLOOKUP("MontgomeryGasoline",'Clean Fleet Calcs'!$I$3:$Q$8,8,FALSE)</f>
        <v>412.28628532901564</v>
      </c>
      <c r="G15" s="221">
        <v>0</v>
      </c>
      <c r="I15" s="257">
        <f t="shared" ca="1" si="2"/>
        <v>-412.28628532901564</v>
      </c>
    </row>
    <row r="16" spans="1:12" ht="13.2">
      <c r="A16" s="221" t="s">
        <v>32</v>
      </c>
      <c r="D16" s="257">
        <f ca="1">SUM(D13:D15)</f>
        <v>547.16666734180285</v>
      </c>
      <c r="G16" s="257">
        <f>SUM(G13:G15)</f>
        <v>280.67469784174466</v>
      </c>
      <c r="I16" s="257">
        <f t="shared" ca="1" si="2"/>
        <v>-266.49196950005819</v>
      </c>
    </row>
    <row r="18" spans="1:11" ht="13.2">
      <c r="B18" s="20" t="s">
        <v>617</v>
      </c>
    </row>
    <row r="19" spans="1:11" ht="13.2">
      <c r="B19" s="21">
        <v>180000</v>
      </c>
      <c r="C19" s="20" t="s">
        <v>618</v>
      </c>
    </row>
    <row r="20" spans="1:11" ht="13.2">
      <c r="B20" s="97">
        <f ca="1">ROUND('replica trips'!F38,0)</f>
        <v>8</v>
      </c>
      <c r="C20" s="20" t="s">
        <v>619</v>
      </c>
    </row>
    <row r="21" spans="1:11" ht="13.2">
      <c r="B21" s="75">
        <f>AVERAGE('replica trips'!G45:H45)</f>
        <v>1.3527332436297974</v>
      </c>
      <c r="C21" s="20" t="s">
        <v>620</v>
      </c>
    </row>
    <row r="22" spans="1:11" ht="13.2">
      <c r="B22" s="21">
        <f>B19/B21</f>
        <v>133063.92878835808</v>
      </c>
      <c r="C22" s="20" t="s">
        <v>621</v>
      </c>
    </row>
    <row r="23" spans="1:11" ht="13.2">
      <c r="B23" s="21">
        <f ca="1">B22*B20</f>
        <v>1064511.4303068647</v>
      </c>
      <c r="C23" s="20" t="s">
        <v>622</v>
      </c>
    </row>
    <row r="24" spans="1:11" ht="13.2">
      <c r="B24" s="116">
        <f>SUM('Dayton Kettering MSA Summary'!C24:C26)/SUM('Dayton Kettering MSA Summary'!C24:D26)</f>
        <v>0.78817648074889701</v>
      </c>
      <c r="C24" s="20" t="s">
        <v>623</v>
      </c>
      <c r="D24" s="116"/>
    </row>
    <row r="25" spans="1:11" ht="13.2">
      <c r="B25" s="116">
        <f>SUM('Dayton Kettering MSA Summary'!D24:D26)/SUM('Dayton Kettering MSA Summary'!C24:D26)</f>
        <v>0.21182351925110288</v>
      </c>
      <c r="C25" s="20" t="s">
        <v>624</v>
      </c>
      <c r="D25" s="116"/>
    </row>
    <row r="27" spans="1:11" s="233" customFormat="1" ht="13.2">
      <c r="A27" s="232" t="s">
        <v>504</v>
      </c>
      <c r="I27" s="260"/>
      <c r="J27" s="261"/>
      <c r="K27" s="261"/>
    </row>
    <row r="28" spans="1:11" ht="13.2">
      <c r="C28" s="20">
        <f>D4</f>
        <v>2050</v>
      </c>
      <c r="J28" s="21"/>
      <c r="K28" s="21"/>
    </row>
    <row r="29" spans="1:11" ht="13.2">
      <c r="A29" s="20" t="s">
        <v>470</v>
      </c>
      <c r="B29" s="20" t="s">
        <v>196</v>
      </c>
      <c r="C29" s="46">
        <f ca="1">SUMIFS(OFFSET('Clean Fleet Calcs'!$C$44:$C$61,0,MATCH(C$28,'Clean Fleet Calcs'!$C$43:$J$43)-1),'Clean Fleet Calcs'!$A$44:$A$61,"ldv_gas_"&amp;IF($A$29="light truck","lt","car"),'Clean Fleet Calcs'!$B$44:$B$61,$B29)*$B$23*$B$24/1000</f>
        <v>133.40463678414207</v>
      </c>
      <c r="D29" s="46"/>
      <c r="E29" s="46"/>
      <c r="F29" s="46"/>
      <c r="G29" s="46"/>
      <c r="H29" s="46"/>
      <c r="I29" s="46"/>
      <c r="J29" s="21"/>
      <c r="K29" s="21"/>
    </row>
    <row r="30" spans="1:11" ht="13.2">
      <c r="B30" s="20" t="s">
        <v>197</v>
      </c>
      <c r="C30" s="46">
        <f ca="1">SUMIFS(OFFSET('Clean Fleet Calcs'!$C$44:$C$61,0,MATCH(C$28,'Clean Fleet Calcs'!$C$43:$J$43)-1),'Clean Fleet Calcs'!$A$44:$A$61,"ldv_gas_"&amp;IF($A$29="light truck","lt","car"),'Clean Fleet Calcs'!$B$44:$B$61,$B30)*$B$23*$B$24/1000</f>
        <v>2104.2693651234481</v>
      </c>
      <c r="D30" s="46"/>
      <c r="E30" s="46"/>
      <c r="F30" s="46"/>
      <c r="G30" s="46"/>
      <c r="H30" s="46"/>
      <c r="I30" s="46"/>
      <c r="J30" s="21"/>
      <c r="K30" s="21"/>
    </row>
    <row r="31" spans="1:11" ht="13.2">
      <c r="B31" s="20" t="s">
        <v>198</v>
      </c>
      <c r="C31" s="46">
        <f ca="1">SUMIFS(OFFSET('Clean Fleet Calcs'!$C$44:$C$61,0,MATCH(C$28,'Clean Fleet Calcs'!$C$43:$J$43)-1),'Clean Fleet Calcs'!$A$44:$A$61,"ldv_gas_"&amp;IF($A$29="light truck","lt","car"),'Clean Fleet Calcs'!$B$44:$B$61,$B31)*$B$23*$B$24/1000</f>
        <v>45.307235134236919</v>
      </c>
      <c r="D31" s="46"/>
      <c r="E31" s="46"/>
      <c r="F31" s="46"/>
      <c r="G31" s="46"/>
      <c r="H31" s="46"/>
      <c r="I31" s="46"/>
      <c r="J31" s="21"/>
      <c r="K31" s="21"/>
    </row>
    <row r="32" spans="1:11" ht="13.2">
      <c r="B32" s="20" t="s">
        <v>199</v>
      </c>
      <c r="C32" s="46">
        <f ca="1">SUMIFS(OFFSET('Clean Fleet Calcs'!$C$44:$C$61,0,MATCH(C$28,'Clean Fleet Calcs'!$C$43:$J$43)-1),'Clean Fleet Calcs'!$A$44:$A$61,"ldv_gas_"&amp;IF($A$29="light truck","lt","car"),'Clean Fleet Calcs'!$B$44:$B$61,$B32)*$B$23*$B$24/1000</f>
        <v>3.3560914914249573</v>
      </c>
      <c r="D32" s="46"/>
      <c r="E32" s="46"/>
      <c r="F32" s="46"/>
      <c r="G32" s="46"/>
      <c r="H32" s="46"/>
      <c r="I32" s="46"/>
      <c r="J32" s="21"/>
      <c r="K32" s="21"/>
    </row>
    <row r="33" spans="1:15" ht="13.2">
      <c r="B33" s="20" t="s">
        <v>200</v>
      </c>
      <c r="C33" s="46">
        <f ca="1">SUMIFS(OFFSET('Clean Fleet Calcs'!$C$44:$C$61,0,MATCH(C$28,'Clean Fleet Calcs'!$C$43:$J$43)-1),'Clean Fleet Calcs'!$A$44:$A$61,"ldv_gas_"&amp;IF($A$29="light truck","lt","car"),'Clean Fleet Calcs'!$B$44:$B$61,$B33)*$B$23*$B$24/1000</f>
        <v>2.5170686185687181</v>
      </c>
      <c r="D33" s="46"/>
      <c r="E33" s="46"/>
      <c r="F33" s="46"/>
      <c r="G33" s="46"/>
      <c r="H33" s="46"/>
      <c r="I33" s="46"/>
    </row>
    <row r="34" spans="1:15" ht="13.2">
      <c r="B34" s="20" t="s">
        <v>201</v>
      </c>
      <c r="C34" s="46">
        <f ca="1">SUMIFS(OFFSET('Clean Fleet Calcs'!$C$44:$C$61,0,MATCH(C$28,'Clean Fleet Calcs'!$C$43:$J$43)-1),'Clean Fleet Calcs'!$A$44:$A$61,"ldv_gas_"&amp;IF($A$29="light truck","lt","car"),'Clean Fleet Calcs'!$B$44:$B$61,$B34)*$B$23*$B$24/1000</f>
        <v>0.83902287285623933</v>
      </c>
      <c r="D34" s="46"/>
      <c r="E34" s="46"/>
      <c r="F34" s="46"/>
      <c r="G34" s="46"/>
      <c r="H34" s="46"/>
      <c r="I34" s="46"/>
    </row>
    <row r="35" spans="1:15" ht="13.2">
      <c r="A35" s="20" t="s">
        <v>471</v>
      </c>
      <c r="B35" s="20" t="s">
        <v>196</v>
      </c>
      <c r="C35" s="46">
        <f ca="1">SUMIFS(OFFSET('Clean Fleet Calcs'!$C$44:$C$61,0,MATCH(C$28,'Clean Fleet Calcs'!$C$43:$J$43)-1),'Clean Fleet Calcs'!$A$44:$A$61,"ldv_gas_"&amp;IF($A$35="light truck","lt","car"),'Clean Fleet Calcs'!$B$44:$B$61,$B35)*$B$23*$B$25/1000</f>
        <v>39.460497553859405</v>
      </c>
      <c r="D35" s="46"/>
      <c r="E35" s="46"/>
      <c r="F35" s="46"/>
      <c r="G35" s="46"/>
      <c r="H35" s="46"/>
      <c r="I35" s="46"/>
    </row>
    <row r="36" spans="1:15" ht="13.2">
      <c r="B36" s="20" t="s">
        <v>197</v>
      </c>
      <c r="C36" s="46">
        <f ca="1">SUMIFS(OFFSET('Clean Fleet Calcs'!$C$44:$C$61,0,MATCH(C$28,'Clean Fleet Calcs'!$C$43:$J$43)-1),'Clean Fleet Calcs'!$A$44:$A$61,"ldv_gas_"&amp;IF($A$35="light truck","lt","car"),'Clean Fleet Calcs'!$B$44:$B$61,$B36)*$B$23*$B$25/1000</f>
        <v>650.08351113015249</v>
      </c>
      <c r="D36" s="46"/>
      <c r="E36" s="46"/>
      <c r="F36" s="46"/>
      <c r="G36" s="46"/>
      <c r="H36" s="46"/>
      <c r="I36" s="46"/>
    </row>
    <row r="37" spans="1:15" ht="13.2">
      <c r="B37" s="20" t="s">
        <v>198</v>
      </c>
      <c r="C37" s="46">
        <f ca="1">SUMIFS(OFFSET('Clean Fleet Calcs'!$C$44:$C$61,0,MATCH(C$28,'Clean Fleet Calcs'!$C$43:$J$43)-1),'Clean Fleet Calcs'!$A$44:$A$61,"ldv_gas_"&amp;IF($A$35="light truck","lt","car"),'Clean Fleet Calcs'!$B$44:$B$61,$B37)*$B$23*$B$25/1000</f>
        <v>20.068481613105639</v>
      </c>
      <c r="D37" s="46"/>
      <c r="E37" s="46"/>
      <c r="F37" s="46"/>
      <c r="G37" s="46"/>
      <c r="H37" s="46"/>
      <c r="I37" s="46"/>
    </row>
    <row r="38" spans="1:15" ht="13.2">
      <c r="B38" s="20" t="s">
        <v>199</v>
      </c>
      <c r="C38" s="46">
        <f ca="1">SUMIFS(OFFSET('Clean Fleet Calcs'!$C$44:$C$61,0,MATCH(C$28,'Clean Fleet Calcs'!$C$43:$J$43)-1),'Clean Fleet Calcs'!$A$44:$A$61,"ldv_gas_"&amp;IF($A$35="light truck","lt","car"),'Clean Fleet Calcs'!$B$44:$B$61,$B38)*$B$23*$B$25/1000</f>
        <v>1.1274427872531261</v>
      </c>
      <c r="D38" s="46"/>
      <c r="E38" s="46"/>
      <c r="F38" s="46"/>
      <c r="G38" s="46"/>
      <c r="H38" s="46"/>
      <c r="I38" s="46"/>
    </row>
    <row r="39" spans="1:15" ht="13.2">
      <c r="B39" s="20" t="s">
        <v>200</v>
      </c>
      <c r="C39" s="46">
        <f ca="1">SUMIFS(OFFSET('Clean Fleet Calcs'!$C$44:$C$61,0,MATCH(C$28,'Clean Fleet Calcs'!$C$43:$J$43)-1),'Clean Fleet Calcs'!$A$44:$A$61,"ldv_gas_"&amp;IF($A$35="light truck","lt","car"),'Clean Fleet Calcs'!$B$44:$B$61,$B39)*$B$23*$B$25/1000</f>
        <v>0.67646567235187571</v>
      </c>
      <c r="D39" s="46"/>
      <c r="E39" s="46"/>
      <c r="F39" s="46"/>
      <c r="G39" s="46"/>
      <c r="H39" s="46"/>
      <c r="I39" s="46"/>
    </row>
    <row r="40" spans="1:15" ht="13.2">
      <c r="B40" s="20" t="s">
        <v>201</v>
      </c>
      <c r="C40" s="46">
        <f ca="1">SUMIFS(OFFSET('Clean Fleet Calcs'!$C$44:$C$61,0,MATCH(C$28,'Clean Fleet Calcs'!$C$43:$J$43)-1),'Clean Fleet Calcs'!$A$44:$A$61,"ldv_gas_"&amp;IF($A$35="light truck","lt","car"),'Clean Fleet Calcs'!$B$44:$B$61,$B40)*$B$23*$B$25/1000</f>
        <v>0.22548855745062518</v>
      </c>
      <c r="D40" s="46"/>
      <c r="E40" s="46"/>
      <c r="F40" s="46"/>
      <c r="G40" s="46"/>
      <c r="H40" s="46"/>
      <c r="I40" s="46"/>
    </row>
    <row r="41" spans="1:15" ht="13.2">
      <c r="A41" s="20" t="s">
        <v>625</v>
      </c>
      <c r="B41" s="20" t="s">
        <v>196</v>
      </c>
      <c r="C41" s="46">
        <f ca="1">SUMIFS(OFFSET('Clean Fleet Calcs'!$C$44:$C$67,0,MATCH(C$28,'Clean Fleet Calcs'!$C$43:$J$43)-1),'Clean Fleet Calcs'!$A$44:$A$67,"hdv_diesel",'Clean Fleet Calcs'!$B$44:$B$67,$B41)*$D$9/1000</f>
        <v>24.451349999999998</v>
      </c>
      <c r="D41" s="46"/>
      <c r="E41" s="46"/>
      <c r="F41" s="46"/>
      <c r="G41" s="46"/>
      <c r="H41" s="46"/>
      <c r="I41" s="46"/>
      <c r="J41" s="74"/>
      <c r="K41" s="74"/>
      <c r="L41" s="74"/>
      <c r="M41" s="74"/>
      <c r="N41" s="74"/>
      <c r="O41" s="74"/>
    </row>
    <row r="42" spans="1:15" ht="13.2">
      <c r="B42" s="20" t="s">
        <v>197</v>
      </c>
      <c r="C42" s="46">
        <f ca="1">SUMIFS(OFFSET('Clean Fleet Calcs'!$C$44:$C$67,0,MATCH(C$28,'Clean Fleet Calcs'!$C$43:$J$43)-1),'Clean Fleet Calcs'!$A$44:$A$67,"hdv_diesel",'Clean Fleet Calcs'!$B$44:$B$67,$B42)*$D$9/1000</f>
        <v>251.59595999999999</v>
      </c>
      <c r="D42" s="46"/>
      <c r="E42" s="46"/>
      <c r="F42" s="46"/>
      <c r="G42" s="46"/>
      <c r="H42" s="46"/>
      <c r="I42" s="46"/>
      <c r="J42" s="74"/>
      <c r="K42" s="74"/>
      <c r="L42" s="74"/>
      <c r="M42" s="74"/>
      <c r="N42" s="74"/>
      <c r="O42" s="74"/>
    </row>
    <row r="43" spans="1:15" ht="13.2">
      <c r="B43" s="20" t="s">
        <v>198</v>
      </c>
      <c r="C43" s="46">
        <f ca="1">SUMIFS(OFFSET('Clean Fleet Calcs'!$C$44:$C$67,0,MATCH(C$28,'Clean Fleet Calcs'!$C$43:$J$43)-1),'Clean Fleet Calcs'!$A$44:$A$67,"hdv_diesel",'Clean Fleet Calcs'!$B$44:$B$67,$B43)*$D$9/1000</f>
        <v>390.37844999999999</v>
      </c>
      <c r="D43" s="46"/>
      <c r="E43" s="46"/>
      <c r="F43" s="46"/>
      <c r="G43" s="46"/>
      <c r="H43" s="46"/>
      <c r="I43" s="46"/>
      <c r="J43" s="74"/>
      <c r="K43" s="74"/>
      <c r="L43" s="74"/>
      <c r="M43" s="74"/>
      <c r="N43" s="74"/>
      <c r="O43" s="74"/>
    </row>
    <row r="44" spans="1:15" ht="13.2">
      <c r="B44" s="20" t="s">
        <v>199</v>
      </c>
      <c r="C44" s="46">
        <f ca="1">SUMIFS(OFFSET('Clean Fleet Calcs'!$C$44:$C$67,0,MATCH(C$28,'Clean Fleet Calcs'!$C$43:$J$43)-1),'Clean Fleet Calcs'!$A$44:$A$67,"hdv_diesel",'Clean Fleet Calcs'!$B$44:$B$67,$B44)*$D$9/1000</f>
        <v>4.3843800000000002</v>
      </c>
      <c r="D44" s="46"/>
      <c r="E44" s="46"/>
      <c r="F44" s="46"/>
      <c r="G44" s="46"/>
      <c r="H44" s="46"/>
      <c r="I44" s="46"/>
      <c r="J44" s="74"/>
      <c r="K44" s="74"/>
      <c r="L44" s="74"/>
      <c r="M44" s="74"/>
      <c r="N44" s="74"/>
      <c r="O44" s="74"/>
    </row>
    <row r="45" spans="1:15" ht="13.2">
      <c r="B45" s="20" t="s">
        <v>200</v>
      </c>
      <c r="C45" s="46">
        <f ca="1">SUMIFS(OFFSET('Clean Fleet Calcs'!$C$44:$C$67,0,MATCH(C$28,'Clean Fleet Calcs'!$C$43:$J$43)-1),'Clean Fleet Calcs'!$A$44:$A$67,"hdv_diesel",'Clean Fleet Calcs'!$B$44:$B$67,$B45)*$D$9/1000</f>
        <v>1.5176699999999999</v>
      </c>
      <c r="D45" s="46"/>
      <c r="E45" s="46"/>
      <c r="F45" s="46"/>
      <c r="G45" s="46"/>
      <c r="H45" s="46"/>
      <c r="I45" s="46"/>
      <c r="J45" s="74"/>
      <c r="K45" s="74"/>
      <c r="L45" s="74"/>
      <c r="M45" s="74"/>
      <c r="N45" s="74"/>
      <c r="O45" s="74"/>
    </row>
    <row r="46" spans="1:15" ht="13.2">
      <c r="B46" s="20" t="s">
        <v>201</v>
      </c>
      <c r="C46" s="46">
        <f ca="1">SUMIFS(OFFSET('Clean Fleet Calcs'!$C$44:$C$67,0,MATCH(C$28,'Clean Fleet Calcs'!$C$43:$J$43)-1),'Clean Fleet Calcs'!$A$44:$A$67,"hdv_diesel",'Clean Fleet Calcs'!$B$44:$B$67,$B46)*$D$9/1000</f>
        <v>0.50588999999999995</v>
      </c>
      <c r="D46" s="46"/>
      <c r="E46" s="46"/>
      <c r="F46" s="46"/>
      <c r="G46" s="46"/>
      <c r="H46" s="46"/>
      <c r="I46" s="46"/>
      <c r="J46" s="74"/>
      <c r="K46" s="74"/>
      <c r="L46" s="74"/>
      <c r="M46" s="74"/>
      <c r="N46" s="74"/>
      <c r="O46" s="74"/>
    </row>
    <row r="48" spans="1:15" ht="13.2">
      <c r="C48" s="20">
        <f>C28</f>
        <v>2050</v>
      </c>
    </row>
    <row r="49" spans="2:13" ht="13.2">
      <c r="B49" s="20" t="s">
        <v>505</v>
      </c>
      <c r="C49" s="46">
        <f t="shared" ref="C49:C52" ca="1" si="3">SUMIF($B$29:$B$46,"*"&amp;$B49&amp;"*",C$29:C$46)</f>
        <v>197.31648433800146</v>
      </c>
      <c r="D49" s="46"/>
      <c r="E49" s="46"/>
      <c r="F49" s="46"/>
      <c r="G49" s="46"/>
      <c r="H49" s="46"/>
      <c r="I49" s="46"/>
      <c r="J49" s="21"/>
      <c r="K49" s="21"/>
      <c r="L49" s="21"/>
      <c r="M49" s="21"/>
    </row>
    <row r="50" spans="2:13" ht="13.2">
      <c r="B50" s="20" t="s">
        <v>506</v>
      </c>
      <c r="C50" s="46">
        <f t="shared" ca="1" si="3"/>
        <v>3005.9488362536008</v>
      </c>
      <c r="D50" s="46"/>
      <c r="E50" s="46"/>
      <c r="F50" s="46"/>
      <c r="G50" s="46"/>
      <c r="H50" s="46"/>
      <c r="I50" s="46"/>
      <c r="J50" s="21"/>
      <c r="K50" s="21"/>
      <c r="L50" s="21"/>
      <c r="M50" s="21"/>
    </row>
    <row r="51" spans="2:13" ht="13.2">
      <c r="B51" s="20" t="s">
        <v>507</v>
      </c>
      <c r="C51" s="46">
        <f t="shared" ca="1" si="3"/>
        <v>455.75416674734254</v>
      </c>
      <c r="D51" s="46"/>
      <c r="E51" s="46"/>
      <c r="F51" s="46"/>
      <c r="G51" s="46"/>
      <c r="H51" s="46"/>
      <c r="I51" s="46"/>
      <c r="J51" s="21"/>
      <c r="K51" s="21"/>
      <c r="L51" s="21"/>
      <c r="M51" s="21"/>
    </row>
    <row r="52" spans="2:13" ht="13.2">
      <c r="B52" s="20" t="s">
        <v>508</v>
      </c>
      <c r="C52" s="46">
        <f t="shared" ca="1" si="3"/>
        <v>15.149519999905543</v>
      </c>
      <c r="D52" s="46"/>
      <c r="E52" s="46"/>
      <c r="F52" s="46"/>
      <c r="G52" s="46"/>
      <c r="H52" s="46"/>
      <c r="I52" s="46"/>
      <c r="J52" s="21"/>
      <c r="K52" s="21"/>
      <c r="L52" s="21"/>
      <c r="M52" s="21"/>
    </row>
  </sheetData>
  <conditionalFormatting sqref="L8:L9 F8:F11">
    <cfRule type="cellIs" dxfId="3" priority="1" operator="lessThan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F0"/>
    <outlinePr summaryBelow="0" summaryRight="0"/>
  </sheetPr>
  <dimension ref="A1:E17"/>
  <sheetViews>
    <sheetView workbookViewId="0">
      <selection activeCell="E9" sqref="E9"/>
    </sheetView>
  </sheetViews>
  <sheetFormatPr defaultColWidth="12.5546875" defaultRowHeight="15.75" customHeight="1"/>
  <cols>
    <col min="2" max="2" width="23.33203125" customWidth="1"/>
    <col min="3" max="3" width="24.5546875" customWidth="1"/>
    <col min="4" max="4" width="24.109375" customWidth="1"/>
  </cols>
  <sheetData>
    <row r="1" spans="1:4" s="249" customFormat="1" ht="31.8" customHeight="1">
      <c r="A1" s="249" t="s">
        <v>750</v>
      </c>
    </row>
    <row r="2" spans="1:4" ht="13.2">
      <c r="C2" s="140" t="s">
        <v>626</v>
      </c>
    </row>
    <row r="3" spans="1:4" ht="13.2">
      <c r="A3" s="222"/>
      <c r="B3" s="221" t="s">
        <v>627</v>
      </c>
      <c r="C3" s="221" t="s">
        <v>628</v>
      </c>
      <c r="D3" s="221" t="s">
        <v>629</v>
      </c>
    </row>
    <row r="4" spans="1:4" ht="13.2">
      <c r="A4" s="262">
        <v>2024</v>
      </c>
      <c r="B4" s="263">
        <v>1000</v>
      </c>
      <c r="C4" s="221">
        <f>B4*7</f>
        <v>7000</v>
      </c>
      <c r="D4" s="222"/>
    </row>
    <row r="5" spans="1:4" ht="13.2">
      <c r="A5" s="262">
        <v>2025</v>
      </c>
      <c r="B5" s="263">
        <v>5000</v>
      </c>
      <c r="C5" s="221">
        <f t="shared" ref="C5:C8" si="0">SUM($B$4:B5)*7</f>
        <v>42000</v>
      </c>
      <c r="D5" s="222"/>
    </row>
    <row r="6" spans="1:4" ht="13.2">
      <c r="A6" s="262">
        <v>2026</v>
      </c>
      <c r="B6" s="263">
        <v>10000</v>
      </c>
      <c r="C6" s="221">
        <f t="shared" si="0"/>
        <v>112000</v>
      </c>
      <c r="D6" s="222"/>
    </row>
    <row r="7" spans="1:4" ht="13.2">
      <c r="A7" s="262">
        <v>2027</v>
      </c>
      <c r="B7" s="263">
        <v>10000</v>
      </c>
      <c r="C7" s="221">
        <f t="shared" si="0"/>
        <v>182000</v>
      </c>
      <c r="D7" s="222"/>
    </row>
    <row r="8" spans="1:4" ht="13.2">
      <c r="A8" s="262">
        <v>2028</v>
      </c>
      <c r="B8" s="263">
        <v>10000</v>
      </c>
      <c r="C8" s="221">
        <f t="shared" si="0"/>
        <v>252000</v>
      </c>
      <c r="D8" s="222"/>
    </row>
    <row r="9" spans="1:4" ht="13.2">
      <c r="A9" s="262">
        <v>2029</v>
      </c>
      <c r="B9" s="262"/>
      <c r="C9" s="262"/>
      <c r="D9" s="264">
        <f t="shared" ref="D9:D13" si="1">C4*0.0001*$C$16*44/12</f>
        <v>5.7236666666666673</v>
      </c>
    </row>
    <row r="10" spans="1:4" ht="13.2">
      <c r="A10" s="221">
        <v>2030</v>
      </c>
      <c r="B10" s="222"/>
      <c r="C10" s="222"/>
      <c r="D10" s="264">
        <f t="shared" si="1"/>
        <v>34.341999999999999</v>
      </c>
    </row>
    <row r="11" spans="1:4" ht="13.2">
      <c r="A11" s="262">
        <v>2031</v>
      </c>
      <c r="B11" s="222"/>
      <c r="C11" s="222"/>
      <c r="D11" s="264">
        <f t="shared" si="1"/>
        <v>91.578666666666678</v>
      </c>
    </row>
    <row r="12" spans="1:4" ht="13.2">
      <c r="A12" s="221">
        <v>2032</v>
      </c>
      <c r="B12" s="222"/>
      <c r="C12" s="222"/>
      <c r="D12" s="264">
        <f t="shared" si="1"/>
        <v>148.81533333333331</v>
      </c>
    </row>
    <row r="13" spans="1:4" ht="13.2">
      <c r="A13" s="262">
        <v>2033</v>
      </c>
      <c r="B13" s="222"/>
      <c r="C13" s="222"/>
      <c r="D13" s="264">
        <f t="shared" si="1"/>
        <v>206.05200000000002</v>
      </c>
    </row>
    <row r="14" spans="1:4" ht="13.2">
      <c r="A14" s="221">
        <v>2050</v>
      </c>
      <c r="B14" s="222"/>
      <c r="C14" s="222"/>
      <c r="D14" s="264">
        <f>D13</f>
        <v>206.05200000000002</v>
      </c>
    </row>
    <row r="16" spans="1:4" ht="15.75" customHeight="1">
      <c r="B16" s="48" t="s">
        <v>630</v>
      </c>
      <c r="C16" s="165">
        <v>2.23</v>
      </c>
      <c r="D16" s="48" t="s">
        <v>631</v>
      </c>
    </row>
    <row r="17" spans="2:5" ht="15.75" customHeight="1">
      <c r="B17" s="293" t="s">
        <v>632</v>
      </c>
      <c r="C17" s="285"/>
      <c r="D17" s="285"/>
      <c r="E17" s="285"/>
    </row>
  </sheetData>
  <mergeCells count="1">
    <mergeCell ref="B17:E1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F0"/>
    <outlinePr summaryBelow="0" summaryRight="0"/>
  </sheetPr>
  <dimension ref="A1:AB50"/>
  <sheetViews>
    <sheetView workbookViewId="0">
      <selection activeCell="A31" sqref="A31:XFD31"/>
    </sheetView>
  </sheetViews>
  <sheetFormatPr defaultColWidth="12.5546875" defaultRowHeight="15.75" customHeight="1"/>
  <cols>
    <col min="1" max="1" width="24.109375" customWidth="1"/>
    <col min="3" max="3" width="15.109375" customWidth="1"/>
    <col min="4" max="4" width="16.6640625" customWidth="1"/>
    <col min="7" max="7" width="10.33203125" customWidth="1"/>
    <col min="13" max="13" width="3.88671875" customWidth="1"/>
  </cols>
  <sheetData>
    <row r="1" spans="1:28" s="249" customFormat="1" ht="31.2" customHeight="1">
      <c r="A1" s="249" t="s">
        <v>751</v>
      </c>
    </row>
    <row r="2" spans="1:28" ht="13.2">
      <c r="A2" s="224" t="s">
        <v>633</v>
      </c>
      <c r="B2" s="226"/>
      <c r="C2" s="224"/>
      <c r="D2" s="224"/>
      <c r="E2" s="224"/>
      <c r="F2" s="224"/>
      <c r="H2" s="222"/>
      <c r="I2" s="265" t="s">
        <v>634</v>
      </c>
      <c r="J2" s="266"/>
      <c r="K2" s="266"/>
      <c r="L2" s="266"/>
    </row>
    <row r="3" spans="1:28" ht="13.2">
      <c r="A3" s="221"/>
      <c r="B3" s="222"/>
      <c r="C3" s="221">
        <v>2027</v>
      </c>
      <c r="D3" s="221">
        <v>2028</v>
      </c>
      <c r="E3" s="221">
        <v>2029</v>
      </c>
      <c r="F3" s="221">
        <v>2030</v>
      </c>
      <c r="H3" s="222"/>
      <c r="I3" s="221">
        <v>2027</v>
      </c>
      <c r="J3" s="221">
        <v>2028</v>
      </c>
      <c r="K3" s="221">
        <v>2029</v>
      </c>
      <c r="L3" s="221">
        <v>2030</v>
      </c>
    </row>
    <row r="4" spans="1:28" ht="13.2">
      <c r="A4" s="221" t="s">
        <v>5</v>
      </c>
      <c r="B4" s="221" t="s">
        <v>470</v>
      </c>
      <c r="C4" s="230"/>
      <c r="D4" s="230"/>
      <c r="E4" s="230"/>
      <c r="F4" s="230"/>
      <c r="G4" s="193" t="str">
        <f>A4&amp;B4</f>
        <v>Greenecar</v>
      </c>
      <c r="H4" s="221" t="s">
        <v>5</v>
      </c>
      <c r="I4" s="230">
        <v>0</v>
      </c>
      <c r="J4" s="230">
        <v>0</v>
      </c>
      <c r="K4" s="230">
        <v>0</v>
      </c>
      <c r="L4" s="230">
        <v>0</v>
      </c>
    </row>
    <row r="5" spans="1:28" ht="13.2">
      <c r="A5" s="221" t="s">
        <v>5</v>
      </c>
      <c r="B5" s="221" t="s">
        <v>471</v>
      </c>
      <c r="C5" s="230"/>
      <c r="D5" s="230"/>
      <c r="E5" s="230"/>
      <c r="F5" s="230"/>
      <c r="G5" s="193" t="str">
        <f t="shared" ref="G5:G9" si="0">A5&amp;B5</f>
        <v>Greenelight truck</v>
      </c>
      <c r="H5" s="221" t="s">
        <v>9</v>
      </c>
      <c r="I5" s="230">
        <v>0</v>
      </c>
      <c r="J5" s="230">
        <v>0</v>
      </c>
      <c r="K5" s="230">
        <v>0</v>
      </c>
      <c r="L5" s="230">
        <v>0</v>
      </c>
    </row>
    <row r="6" spans="1:28" ht="13.2">
      <c r="A6" s="221" t="s">
        <v>9</v>
      </c>
      <c r="B6" s="221" t="s">
        <v>470</v>
      </c>
      <c r="C6" s="230"/>
      <c r="D6" s="230"/>
      <c r="E6" s="230"/>
      <c r="F6" s="230"/>
      <c r="G6" s="193" t="str">
        <f t="shared" si="0"/>
        <v>Miamicar</v>
      </c>
      <c r="H6" s="227" t="s">
        <v>10</v>
      </c>
      <c r="I6" s="230">
        <v>0</v>
      </c>
      <c r="J6" s="230">
        <v>0</v>
      </c>
      <c r="K6" s="230">
        <v>0</v>
      </c>
      <c r="L6" s="230">
        <v>0</v>
      </c>
    </row>
    <row r="7" spans="1:28" ht="13.2">
      <c r="A7" s="221" t="s">
        <v>9</v>
      </c>
      <c r="B7" s="221" t="s">
        <v>471</v>
      </c>
      <c r="C7" s="230"/>
      <c r="D7" s="230"/>
      <c r="E7" s="230"/>
      <c r="F7" s="230"/>
      <c r="G7" s="194" t="str">
        <f t="shared" si="0"/>
        <v>Miamilight truck</v>
      </c>
      <c r="H7" s="195"/>
    </row>
    <row r="8" spans="1:28" ht="13.2">
      <c r="A8" s="227" t="s">
        <v>10</v>
      </c>
      <c r="B8" s="221" t="s">
        <v>470</v>
      </c>
      <c r="C8" s="230">
        <v>100</v>
      </c>
      <c r="D8" s="230">
        <v>350</v>
      </c>
      <c r="E8" s="230">
        <v>600</v>
      </c>
      <c r="F8" s="230">
        <v>850</v>
      </c>
      <c r="G8" s="194" t="str">
        <f t="shared" si="0"/>
        <v>Montgomerycar</v>
      </c>
    </row>
    <row r="9" spans="1:28" ht="13.2">
      <c r="A9" s="227" t="s">
        <v>10</v>
      </c>
      <c r="B9" s="221" t="s">
        <v>471</v>
      </c>
      <c r="C9" s="230">
        <v>100</v>
      </c>
      <c r="D9" s="230">
        <v>350</v>
      </c>
      <c r="E9" s="230">
        <v>600</v>
      </c>
      <c r="F9" s="230">
        <v>850</v>
      </c>
      <c r="G9" s="193" t="str">
        <f t="shared" si="0"/>
        <v>Montgomerylight truck</v>
      </c>
    </row>
    <row r="10" spans="1:28" ht="13.2">
      <c r="C10" s="20"/>
      <c r="D10" s="20"/>
    </row>
    <row r="11" spans="1:28" ht="13.2">
      <c r="B11" s="73" t="s">
        <v>611</v>
      </c>
      <c r="C11" s="75">
        <f>IF(D11="VPP",'Project #2 - Virtual Power Plan'!I20,HLOOKUP($D$13,'Emissions Factors'!$E$50:$AH$51,2,FALSE))</f>
        <v>346.87632125415763</v>
      </c>
      <c r="D11" s="20" t="str">
        <f>'Project Reductions Details'!B63</f>
        <v>Reference</v>
      </c>
    </row>
    <row r="13" spans="1:28" ht="13.2">
      <c r="C13" s="252" t="s">
        <v>2</v>
      </c>
      <c r="D13" s="252">
        <f>'Project Reductions Details'!C3</f>
        <v>2050</v>
      </c>
    </row>
    <row r="14" spans="1:28" ht="13.2">
      <c r="C14" s="224" t="s">
        <v>473</v>
      </c>
      <c r="I14" s="225" t="s">
        <v>474</v>
      </c>
    </row>
    <row r="15" spans="1:28" ht="13.2">
      <c r="C15" s="224" t="s">
        <v>46</v>
      </c>
      <c r="G15" s="20"/>
      <c r="H15" s="20"/>
      <c r="I15" s="224" t="s">
        <v>51</v>
      </c>
      <c r="J15" s="20"/>
      <c r="N15" s="224" t="s">
        <v>0</v>
      </c>
      <c r="P15" s="21"/>
      <c r="Q15" s="21"/>
      <c r="S15" s="21"/>
      <c r="T15" s="267" t="s">
        <v>635</v>
      </c>
      <c r="Y15" s="224" t="s">
        <v>636</v>
      </c>
    </row>
    <row r="16" spans="1:28" ht="13.2">
      <c r="A16" s="222"/>
      <c r="B16" s="222"/>
      <c r="C16" s="221" t="s">
        <v>476</v>
      </c>
      <c r="D16" s="221" t="s">
        <v>477</v>
      </c>
      <c r="E16" s="221" t="s">
        <v>479</v>
      </c>
      <c r="F16" s="221" t="s">
        <v>637</v>
      </c>
      <c r="G16" s="20"/>
      <c r="H16" s="222"/>
      <c r="I16" s="221" t="s">
        <v>476</v>
      </c>
      <c r="J16" s="221" t="s">
        <v>477</v>
      </c>
      <c r="K16" s="221" t="s">
        <v>479</v>
      </c>
      <c r="L16" s="221" t="s">
        <v>637</v>
      </c>
      <c r="N16" s="221" t="s">
        <v>480</v>
      </c>
      <c r="O16" s="221" t="s">
        <v>481</v>
      </c>
      <c r="P16" s="221" t="s">
        <v>482</v>
      </c>
      <c r="Q16" s="221" t="s">
        <v>483</v>
      </c>
      <c r="R16" s="221" t="s">
        <v>484</v>
      </c>
      <c r="S16" s="20"/>
      <c r="T16" s="221" t="s">
        <v>46</v>
      </c>
      <c r="U16" s="221" t="s">
        <v>51</v>
      </c>
      <c r="V16" s="221" t="s">
        <v>0</v>
      </c>
      <c r="W16" s="221" t="s">
        <v>32</v>
      </c>
      <c r="Y16" s="221" t="s">
        <v>46</v>
      </c>
      <c r="Z16" s="221" t="s">
        <v>51</v>
      </c>
      <c r="AA16" s="221" t="s">
        <v>638</v>
      </c>
      <c r="AB16" s="221" t="s">
        <v>32</v>
      </c>
    </row>
    <row r="17" spans="1:28" ht="13.2">
      <c r="A17" s="221" t="s">
        <v>5</v>
      </c>
      <c r="B17" s="221" t="s">
        <v>470</v>
      </c>
      <c r="C17" s="221">
        <f>IFERROR(HLOOKUP($D$13,$C$3:$F$9,MATCH(A17&amp;B17,$G$4:$G$9,0)+1,TRUE),"")</f>
        <v>0</v>
      </c>
      <c r="D17" s="221"/>
      <c r="E17" s="227">
        <f t="shared" ref="E17:E22" si="1">C17*D17</f>
        <v>0</v>
      </c>
      <c r="F17" s="227">
        <f ca="1">SUMIFS(OFFSET('Projections by County'!$A$9:$A$36,0,MATCH($D$13,'Projections by County'!$A$9:$AG$9,0)-1),'Projections by County'!$A$9:$A$36,$A17,'Projections by County'!$B$9:$B$36,"Transportation",'Projections by County'!$C$9:$C$36,C$15)/VLOOKUP($A17&amp;C$15,'Clean Fleet Calcs'!$I$3:$Q$18,6,FALSE)</f>
        <v>1342473483.5985641</v>
      </c>
      <c r="G17" s="108"/>
      <c r="H17" s="221" t="s">
        <v>5</v>
      </c>
      <c r="I17" s="221">
        <f t="shared" ref="I17:I19" si="2">IFERROR(HLOOKUP($D$13,$I$3:$L$6,MATCH(H17,$H$4:$H$6,0)+1),"")</f>
        <v>0</v>
      </c>
      <c r="J17" s="230"/>
      <c r="K17" s="221">
        <v>0</v>
      </c>
      <c r="L17" s="227">
        <f ca="1">SUMIFS(OFFSET('Projections by County'!$A$9:$A$36,0,MATCH($D$13,'Projections by County'!$A$9:$AG$9,0)-1),'Projections by County'!$A$9:$A$36,$A17,'Projections by County'!$B$9:$B$36,"Transportation",'Projections by County'!$C$9:$C$36,I$15)/VLOOKUP($A17&amp;I$15,'Clean Fleet Calcs'!$I$3:$Q$18,6,FALSE)</f>
        <v>141985907.95564383</v>
      </c>
      <c r="M17" s="124">
        <f t="shared" ref="M17:M19" ca="1" si="3">L17-K17</f>
        <v>141985907.95564383</v>
      </c>
      <c r="N17" s="227">
        <f>E17</f>
        <v>0</v>
      </c>
      <c r="O17" s="227">
        <f>E18</f>
        <v>0</v>
      </c>
      <c r="P17" s="227">
        <f t="shared" ref="P17:P19" si="4">K17</f>
        <v>0</v>
      </c>
      <c r="Q17" s="227">
        <f ca="1">SUMIFS(OFFSET('Projections by County'!$A$9:$A$36,0,MATCH($D$13,'Projections by County'!$A$9:$AG$9,0)-1),'Projections by County'!$A$9:$A$36,$A17,'Projections by County'!$B$9:$B$36,"Transportation",'Projections by County'!$C$9:$C$36,CONCATENATE(N$15," (kWh)"))/AVERAGE('Clean Fleet Calcs'!$F$9:$F$11)</f>
        <v>22776968.369850162</v>
      </c>
      <c r="R17" s="227">
        <f t="shared" ref="R17:R19" ca="1" si="5">SUM(N17:Q17)</f>
        <v>22776968.369850162</v>
      </c>
      <c r="T17" s="227">
        <f ca="1">SUMIFS(OFFSET('Projections by County'!$D$49:$D$93,0,MATCH($D$13,'Projections by County'!$D$48:$AH$48,0)-1),'Projections by County'!$A$49:$A$93,$A17,'Projections by County'!$B$49:$B$93,"Transportation",'Projections by County'!$C$49:$C$93,T$16)</f>
        <v>519941.25171326374</v>
      </c>
      <c r="U17" s="227">
        <f ca="1">SUMIFS(OFFSET('Projections by County'!$D$49:$D$93,0,MATCH($D$13,'Projections by County'!$D$48:$AH$48,0)-1),'Projections by County'!$A$49:$A$93,$A17,'Projections by County'!$B$49:$B$93,"Transportation",'Projections by County'!$C$49:$C$93,U$16)</f>
        <v>113568.84008965017</v>
      </c>
      <c r="V17" s="227">
        <f ca="1">SUMIFS(OFFSET('Projections by County'!$D$49:$D$93,0,MATCH($D$13,'Projections by County'!$D$48:$AH$48,0)-1),'Projections by County'!$A$49:$A$93,$A17,'Projections by County'!$B$49:$B$93,"Transportation",'Projections by County'!$C$49:$C$93,V$16)</f>
        <v>6210.2411904169576</v>
      </c>
      <c r="W17" s="227">
        <f t="shared" ref="W17:W19" ca="1" si="6">SUM(T17:V17)</f>
        <v>639720.3329933309</v>
      </c>
      <c r="Y17" s="227">
        <f t="shared" ref="Y17:Y19" ca="1" si="7">T17-E25</f>
        <v>519941.25171326374</v>
      </c>
      <c r="Z17" s="227">
        <f t="shared" ref="Z17:Z19" ca="1" si="8">U17-K25</f>
        <v>113568.84008965017</v>
      </c>
      <c r="AA17" s="227">
        <f t="shared" ref="AA17:AA19" ca="1" si="9">V17+SUM(N25:P25)</f>
        <v>6210.2411904169576</v>
      </c>
      <c r="AB17" s="227">
        <f t="shared" ref="AB17:AB19" ca="1" si="10">SUM(Y17:AA17)</f>
        <v>639720.3329933309</v>
      </c>
    </row>
    <row r="18" spans="1:28" ht="13.2">
      <c r="A18" s="221" t="s">
        <v>5</v>
      </c>
      <c r="B18" s="221" t="s">
        <v>471</v>
      </c>
      <c r="C18" s="221">
        <f t="shared" ref="C18:C22" si="11">IFERROR(HLOOKUP($D$13,$C$3:$F$9,MATCH(A18&amp;B18,$G$4:$G$9,0)+1,TRUE),"")</f>
        <v>0</v>
      </c>
      <c r="D18" s="221"/>
      <c r="E18" s="227">
        <f t="shared" si="1"/>
        <v>0</v>
      </c>
      <c r="F18" s="227"/>
      <c r="G18" s="108"/>
      <c r="H18" s="221" t="s">
        <v>9</v>
      </c>
      <c r="I18" s="221">
        <f t="shared" si="2"/>
        <v>0</v>
      </c>
      <c r="J18" s="230"/>
      <c r="K18" s="221">
        <v>0</v>
      </c>
      <c r="L18" s="227">
        <f ca="1">SUMIFS(OFFSET('Projections by County'!$A$9:$A$36,0,MATCH($D$13,'Projections by County'!$A$9:$AG$9,0)-1),'Projections by County'!$A$9:$A$36,$A19,'Projections by County'!$B$9:$B$36,"Transportation",'Projections by County'!$C$9:$C$36,I$15)/VLOOKUP($A19&amp;I$15,'Clean Fleet Calcs'!$I$3:$Q$18,6,FALSE)</f>
        <v>92489079.296586081</v>
      </c>
      <c r="M18" s="124">
        <f t="shared" ca="1" si="3"/>
        <v>92489079.296586081</v>
      </c>
      <c r="N18" s="227">
        <f>E19</f>
        <v>0</v>
      </c>
      <c r="O18" s="227">
        <f>E20</f>
        <v>0</v>
      </c>
      <c r="P18" s="227">
        <f t="shared" si="4"/>
        <v>0</v>
      </c>
      <c r="Q18" s="227">
        <f ca="1">SUMIFS(OFFSET('Projections by County'!$A$9:$A$36,0,MATCH($D$13,'Projections by County'!$A$9:$AG$9,0)-1),'Projections by County'!$A$9:$A$36,$A19,'Projections by County'!$B$9:$B$36,"Transportation",'Projections by County'!$C$9:$C$36,CONCATENATE(N$15," (kWh)"))/AVERAGE('Clean Fleet Calcs'!$F$9:$F$11)</f>
        <v>14070438.472371694</v>
      </c>
      <c r="R18" s="227">
        <f t="shared" ca="1" si="5"/>
        <v>14070438.472371694</v>
      </c>
      <c r="T18" s="227">
        <f ca="1">SUMIFS(OFFSET('Projections by County'!$D$49:$D$93,0,MATCH($D$13,'Projections by County'!$D$48:$AH$48,0)-1),'Projections by County'!$A$49:$A$93,$A19,'Projections by County'!$B$49:$B$93,"Transportation",'Projections by County'!$C$49:$C$93,T$16)</f>
        <v>338834.78952012281</v>
      </c>
      <c r="U18" s="227">
        <f ca="1">SUMIFS(OFFSET('Projections by County'!$D$49:$D$93,0,MATCH($D$13,'Projections by County'!$D$48:$AH$48,0)-1),'Projections by County'!$A$49:$A$93,$A19,'Projections by County'!$B$49:$B$93,"Transportation",'Projections by County'!$C$49:$C$93,U$16)</f>
        <v>73978.309599006359</v>
      </c>
      <c r="V18" s="227">
        <f ca="1">SUMIFS(OFFSET('Projections by County'!$D$49:$D$93,0,MATCH($D$13,'Projections by County'!$D$48:$AH$48,0)-1),'Projections by County'!$A$49:$A$93,$A19,'Projections by County'!$B$49:$B$93,"Transportation",'Projections by County'!$C$49:$C$93,V$16)</f>
        <v>3836.3672965369701</v>
      </c>
      <c r="W18" s="227">
        <f t="shared" ca="1" si="6"/>
        <v>416649.46641566616</v>
      </c>
      <c r="Y18" s="227">
        <f t="shared" ca="1" si="7"/>
        <v>338834.78952012281</v>
      </c>
      <c r="Z18" s="227">
        <f t="shared" ca="1" si="8"/>
        <v>73978.309599006359</v>
      </c>
      <c r="AA18" s="227">
        <f t="shared" ca="1" si="9"/>
        <v>3836.3672965369701</v>
      </c>
      <c r="AB18" s="227">
        <f t="shared" ca="1" si="10"/>
        <v>416649.46641566616</v>
      </c>
    </row>
    <row r="19" spans="1:28" ht="13.2">
      <c r="A19" s="221" t="s">
        <v>9</v>
      </c>
      <c r="B19" s="221" t="s">
        <v>470</v>
      </c>
      <c r="C19" s="221">
        <f t="shared" si="11"/>
        <v>0</v>
      </c>
      <c r="D19" s="221"/>
      <c r="E19" s="227">
        <f t="shared" si="1"/>
        <v>0</v>
      </c>
      <c r="F19" s="227">
        <f ca="1">SUMIFS(OFFSET('Projections by County'!$A$9:$A$36,0,MATCH($D$13,'Projections by County'!$A$9:$AG$9,0)-1),'Projections by County'!$A$9:$A$36,$A19,'Projections by County'!$B$9:$B$36,"Transportation",'Projections by County'!$C$9:$C$36,C$15)/VLOOKUP($A19&amp;C$15,'Clean Fleet Calcs'!$I$3:$Q$18,6,FALSE)</f>
        <v>874861762.98148787</v>
      </c>
      <c r="G19" s="108"/>
      <c r="H19" s="227" t="s">
        <v>10</v>
      </c>
      <c r="I19" s="221">
        <f t="shared" si="2"/>
        <v>0</v>
      </c>
      <c r="J19" s="231"/>
      <c r="K19" s="221">
        <v>0</v>
      </c>
      <c r="L19" s="227">
        <f ca="1">SUMIFS(OFFSET('Projections by County'!$A$9:$A$36,0,MATCH($D$13,'Projections by County'!$A$9:$AG$9,0)-1),'Projections by County'!$A$9:$A$36,$A21,'Projections by County'!$B$9:$B$36,"Transportation",'Projections by County'!$C$9:$C$36,I$15)/VLOOKUP($A21&amp;I$15,'Clean Fleet Calcs'!$I$3:$Q$18,6,FALSE)</f>
        <v>322819684.30539072</v>
      </c>
      <c r="M19" s="124">
        <f t="shared" ca="1" si="3"/>
        <v>322819684.30539072</v>
      </c>
      <c r="N19" s="227">
        <f>E21</f>
        <v>9350000</v>
      </c>
      <c r="O19" s="227">
        <f>E22</f>
        <v>9350000</v>
      </c>
      <c r="P19" s="227">
        <f t="shared" si="4"/>
        <v>0</v>
      </c>
      <c r="Q19" s="227">
        <f ca="1">SUMIFS(OFFSET('Projections by County'!$A$9:$A$36,0,MATCH($D$13,'Projections by County'!$A$9:$AG$9,0)-1),'Projections by County'!$A$9:$A$36,$A21,'Projections by County'!$B$9:$B$36,"Transportation",'Projections by County'!$C$9:$C$36,CONCATENATE(N$15," (kWh)"))/AVERAGE('Clean Fleet Calcs'!$F$9:$F$11)</f>
        <v>58877518.569171764</v>
      </c>
      <c r="R19" s="227">
        <f t="shared" ca="1" si="5"/>
        <v>77577518.569171757</v>
      </c>
      <c r="T19" s="227">
        <f ca="1">SUMIFS(OFFSET('Projections by County'!$D$49:$D$93,0,MATCH($D$13,'Projections by County'!$D$48:$AH$48,0)-1),'Projections by County'!$A$49:$A$93,$A21,'Projections by County'!$B$49:$B$93,"Transportation",'Projections by County'!$C$49:$C$93,T$16)</f>
        <v>1184650.4999386196</v>
      </c>
      <c r="U19" s="227">
        <f ca="1">SUMIFS(OFFSET('Projections by County'!$D$49:$D$93,0,MATCH($D$13,'Projections by County'!$D$48:$AH$48,0)-1),'Projections by County'!$A$49:$A$93,$A21,'Projections by County'!$B$49:$B$93,"Transportation",'Projections by County'!$C$49:$C$93,U$16)</f>
        <v>258210.53395219386</v>
      </c>
      <c r="V19" s="227">
        <f ca="1">SUMIFS(OFFSET('Projections by County'!$D$49:$D$93,0,MATCH($D$13,'Projections by County'!$D$48:$AH$48,0)-1),'Projections by County'!$A$49:$A$93,$A21,'Projections by County'!$B$49:$B$93,"Transportation",'Projections by County'!$C$49:$C$93,V$16)</f>
        <v>16053.215909620862</v>
      </c>
      <c r="W19" s="227">
        <f t="shared" ca="1" si="6"/>
        <v>1458914.2498004341</v>
      </c>
      <c r="Y19" s="227">
        <f t="shared" ca="1" si="7"/>
        <v>1177407.9722248211</v>
      </c>
      <c r="Z19" s="227">
        <f t="shared" ca="1" si="8"/>
        <v>258210.53395219386</v>
      </c>
      <c r="AA19" s="227">
        <f t="shared" ca="1" si="9"/>
        <v>18771.36622401054</v>
      </c>
      <c r="AB19" s="227">
        <f t="shared" ca="1" si="10"/>
        <v>1454389.8724010254</v>
      </c>
    </row>
    <row r="20" spans="1:28" ht="13.2">
      <c r="A20" s="221" t="s">
        <v>9</v>
      </c>
      <c r="B20" s="221" t="s">
        <v>471</v>
      </c>
      <c r="C20" s="221">
        <f t="shared" si="11"/>
        <v>0</v>
      </c>
      <c r="D20" s="221"/>
      <c r="E20" s="227">
        <f t="shared" si="1"/>
        <v>0</v>
      </c>
      <c r="F20" s="227"/>
      <c r="G20" s="108"/>
    </row>
    <row r="21" spans="1:28" ht="13.2">
      <c r="A21" s="227" t="s">
        <v>10</v>
      </c>
      <c r="B21" s="221" t="s">
        <v>470</v>
      </c>
      <c r="C21" s="221">
        <f t="shared" si="11"/>
        <v>850</v>
      </c>
      <c r="D21" s="227">
        <f>'Project Reductions Details'!B61</f>
        <v>11000</v>
      </c>
      <c r="E21" s="227">
        <f t="shared" si="1"/>
        <v>9350000</v>
      </c>
      <c r="F21" s="227">
        <f ca="1">SUMIFS(OFFSET('Projections by County'!$A$9:$A$36,0,MATCH($D$13,'Projections by County'!$A$9:$AG$9,0)-1),'Projections by County'!$A$9:$A$36,$A21,'Projections by County'!$B$9:$B$36,"Transportation",'Projections by County'!$C$9:$C$36,C$15)/VLOOKUP($A21&amp;C$15,'Clean Fleet Calcs'!$I$3:$Q$18,6,FALSE)</f>
        <v>3058733804.5868564</v>
      </c>
      <c r="G21" s="108"/>
      <c r="K21" s="122"/>
      <c r="M21" s="21"/>
    </row>
    <row r="22" spans="1:28" ht="13.2">
      <c r="A22" s="227" t="s">
        <v>10</v>
      </c>
      <c r="B22" s="221" t="s">
        <v>471</v>
      </c>
      <c r="C22" s="221">
        <f t="shared" si="11"/>
        <v>850</v>
      </c>
      <c r="D22" s="227">
        <f>'Project Reductions Details'!B62</f>
        <v>11000</v>
      </c>
      <c r="E22" s="227">
        <f t="shared" si="1"/>
        <v>9350000</v>
      </c>
      <c r="F22" s="222"/>
      <c r="H22" s="21"/>
      <c r="I22" s="21"/>
      <c r="J22" s="21"/>
    </row>
    <row r="23" spans="1:28" ht="13.2">
      <c r="F23" s="21"/>
    </row>
    <row r="24" spans="1:28" ht="13.2">
      <c r="E24" s="232" t="s">
        <v>616</v>
      </c>
      <c r="F24" s="248"/>
      <c r="G24" s="21"/>
      <c r="K24" s="232" t="s">
        <v>616</v>
      </c>
      <c r="L24" s="248"/>
      <c r="M24" s="21"/>
      <c r="N24" s="232" t="s">
        <v>409</v>
      </c>
      <c r="O24" s="248"/>
      <c r="R24" s="268" t="str">
        <f>CONCATENATE("Net Emissions in ", D13, " (MT CO2e)")</f>
        <v>Net Emissions in 2050 (MT CO2e)</v>
      </c>
      <c r="S24" s="248"/>
    </row>
    <row r="25" spans="1:28" ht="13.2">
      <c r="A25" s="20" t="s">
        <v>5</v>
      </c>
      <c r="B25" s="20"/>
      <c r="E25" s="20">
        <f ca="1">SUMIF($A$17:$A$22,A25,$E$17:$E$22)*VLOOKUP($A25&amp;C$15,'Clean Fleet Calcs'!$I$3:$Q$8,8,FALSE)</f>
        <v>0</v>
      </c>
      <c r="K25" s="20">
        <f ca="1">K17*VLOOKUP($A25&amp;I$15,'Clean Fleet Calcs'!$I$3:$Q$8,8,FALSE)</f>
        <v>0</v>
      </c>
      <c r="N25" s="20">
        <f>N17*'Clean Fleet Calcs'!$F$9/1000000*$C$11</f>
        <v>0</v>
      </c>
      <c r="O25" s="21">
        <f>O17*'Clean Fleet Calcs'!$F$10/1000000*$C$11</f>
        <v>0</v>
      </c>
      <c r="P25" s="20">
        <f>P17*'Clean Fleet Calcs'!$F$11/1000000*HLOOKUP($D$13,'Emissions Factors'!$E$50:$AH$51,2,FALSE)</f>
        <v>0</v>
      </c>
      <c r="R25" s="20">
        <f t="shared" ref="R25:R27" ca="1" si="12">SUM(N25:P25)-(E25+K25)</f>
        <v>0</v>
      </c>
    </row>
    <row r="26" spans="1:28" ht="13.2">
      <c r="A26" s="20" t="s">
        <v>9</v>
      </c>
      <c r="B26" s="20"/>
      <c r="E26" s="20">
        <f ca="1">SUMIF($A$17:$A$22,A26,$E$17:$E$22)*VLOOKUP($A26&amp;C$15,'Clean Fleet Calcs'!$I$3:$Q$8,8,FALSE)</f>
        <v>0</v>
      </c>
      <c r="K26" s="20">
        <f ca="1">K18*VLOOKUP($A26&amp;I$15,'Clean Fleet Calcs'!$I$3:$Q$8,8,FALSE)</f>
        <v>0</v>
      </c>
      <c r="N26" s="20">
        <f>N18*'Clean Fleet Calcs'!$F$9/1000000*$C$11</f>
        <v>0</v>
      </c>
      <c r="O26" s="21">
        <f>O18*'Clean Fleet Calcs'!$F$10/1000000*$C$11</f>
        <v>0</v>
      </c>
      <c r="P26" s="20">
        <f>P18*'Clean Fleet Calcs'!$F$11/1000000*HLOOKUP($D$13,'Emissions Factors'!$E$50:$AH$51,2,FALSE)</f>
        <v>0</v>
      </c>
      <c r="R26" s="20">
        <f t="shared" ca="1" si="12"/>
        <v>0</v>
      </c>
    </row>
    <row r="27" spans="1:28" ht="13.2">
      <c r="A27" s="21" t="s">
        <v>10</v>
      </c>
      <c r="B27" s="21"/>
      <c r="E27" s="25">
        <f ca="1">SUMIF($A$17:$A$22,A27,$E$17:$E$22)*VLOOKUP($A27&amp;C$15,'Clean Fleet Calcs'!$I$3:$Q$8,8,FALSE)</f>
        <v>7242.5277137983539</v>
      </c>
      <c r="F27" s="25"/>
      <c r="G27" s="25"/>
      <c r="H27" s="25"/>
      <c r="I27" s="25"/>
      <c r="J27" s="25"/>
      <c r="K27" s="25">
        <f ca="1">K19*VLOOKUP($A27&amp;I$15,'Clean Fleet Calcs'!$I$3:$Q$8,8,FALSE)</f>
        <v>0</v>
      </c>
      <c r="L27" s="25"/>
      <c r="M27" s="25"/>
      <c r="N27" s="75">
        <f>N19*'Clean Fleet Calcs'!$F$9/1000000*$C$11</f>
        <v>1122.1795868893253</v>
      </c>
      <c r="O27" s="25">
        <f>O19*'Clean Fleet Calcs'!$F$10/1000000*$C$11</f>
        <v>1595.9707275003532</v>
      </c>
      <c r="P27" s="25">
        <f>P19*'Clean Fleet Calcs'!$F$11/1000000*HLOOKUP($D$13,'Emissions Factors'!$E$50:$AH$51,2,FALSE)</f>
        <v>0</v>
      </c>
      <c r="Q27" s="25"/>
      <c r="R27" s="25">
        <f t="shared" ca="1" si="12"/>
        <v>-4524.377399408675</v>
      </c>
    </row>
    <row r="28" spans="1:28" ht="13.2">
      <c r="D28" s="21"/>
    </row>
    <row r="29" spans="1:28" ht="13.2">
      <c r="N29" s="73"/>
      <c r="O29" s="95"/>
      <c r="P29" s="95"/>
    </row>
    <row r="31" spans="1:28" s="233" customFormat="1" ht="13.2">
      <c r="A31" s="232" t="s">
        <v>504</v>
      </c>
      <c r="I31" s="260"/>
      <c r="J31" s="261"/>
      <c r="K31" s="261"/>
      <c r="L31" s="261"/>
    </row>
    <row r="32" spans="1:28" ht="13.2">
      <c r="C32" s="20">
        <f>D13</f>
        <v>2050</v>
      </c>
      <c r="D32" s="21"/>
    </row>
    <row r="33" spans="1:4" ht="13.2">
      <c r="A33" s="20" t="s">
        <v>470</v>
      </c>
      <c r="B33" s="20" t="s">
        <v>196</v>
      </c>
      <c r="C33" s="46">
        <f ca="1">SUMIFS(OFFSET('Clean Fleet Calcs'!$C$44:$C$61,0,MATCH(C$32,'Clean Fleet Calcs'!$C$43:$J$43)-1),'Clean Fleet Calcs'!$A$44:$A$61,"ldv_gas_"&amp;IF($A$33="light truck","lt","car"),'Clean Fleet Calcs'!$B$44:$B$61,$B33)*SUMIF($B$17:$B$22,$A$33,$E$17:$E$22)/1000</f>
        <v>1486.65</v>
      </c>
      <c r="D33" s="21"/>
    </row>
    <row r="34" spans="1:4" ht="13.2">
      <c r="B34" s="20" t="s">
        <v>197</v>
      </c>
      <c r="C34" s="46">
        <f ca="1">SUMIFS(OFFSET('Clean Fleet Calcs'!$C$44:$C$61,0,MATCH(C$32,'Clean Fleet Calcs'!$C$43:$J$43)-1),'Clean Fleet Calcs'!$A$44:$A$61,"ldv_gas_"&amp;IF($A$33="light truck","lt","car"),'Clean Fleet Calcs'!$B$44:$B$61,$B34)*SUMIF($B$17:$B$22,$A$33,$E$17:$E$22)/1000</f>
        <v>23449.8</v>
      </c>
      <c r="D34" s="21"/>
    </row>
    <row r="35" spans="1:4" ht="13.2">
      <c r="B35" s="20" t="s">
        <v>198</v>
      </c>
      <c r="C35" s="46">
        <f ca="1">SUMIFS(OFFSET('Clean Fleet Calcs'!$C$44:$C$61,0,MATCH(C$32,'Clean Fleet Calcs'!$C$43:$J$43)-1),'Clean Fleet Calcs'!$A$44:$A$61,"ldv_gas_"&amp;IF($A$33="light truck","lt","car"),'Clean Fleet Calcs'!$B$44:$B$61,$B35)*SUMIF($B$17:$B$22,$A$33,$E$17:$E$22)/1000</f>
        <v>504.9</v>
      </c>
      <c r="D35" s="21"/>
    </row>
    <row r="36" spans="1:4" ht="13.2">
      <c r="B36" s="20" t="s">
        <v>199</v>
      </c>
      <c r="C36" s="46">
        <f ca="1">SUMIFS(OFFSET('Clean Fleet Calcs'!$C$44:$C$61,0,MATCH(C$32,'Clean Fleet Calcs'!$C$43:$J$43)-1),'Clean Fleet Calcs'!$A$44:$A$61,"ldv_gas_"&amp;IF($A$33="light truck","lt","car"),'Clean Fleet Calcs'!$B$44:$B$61,$B36)*SUMIF($B$17:$B$22,$A$33,$E$17:$E$22)/1000</f>
        <v>37.4</v>
      </c>
      <c r="D36" s="21"/>
    </row>
    <row r="37" spans="1:4" ht="13.2">
      <c r="B37" s="20" t="s">
        <v>200</v>
      </c>
      <c r="C37" s="46">
        <f ca="1">SUMIFS(OFFSET('Clean Fleet Calcs'!$C$44:$C$61,0,MATCH(C$32,'Clean Fleet Calcs'!$C$43:$J$43)-1),'Clean Fleet Calcs'!$A$44:$A$61,"ldv_gas_"&amp;IF($A$33="light truck","lt","car"),'Clean Fleet Calcs'!$B$44:$B$61,$B37)*SUMIF($B$17:$B$22,$A$33,$E$17:$E$22)/1000</f>
        <v>28.05</v>
      </c>
    </row>
    <row r="38" spans="1:4" ht="13.2">
      <c r="B38" s="20" t="s">
        <v>201</v>
      </c>
      <c r="C38" s="46">
        <f ca="1">SUMIFS(OFFSET('Clean Fleet Calcs'!$C$44:$C$61,0,MATCH(C$32,'Clean Fleet Calcs'!$C$43:$J$43)-1),'Clean Fleet Calcs'!$A$44:$A$61,"ldv_gas_"&amp;IF($A$33="light truck","lt","car"),'Clean Fleet Calcs'!$B$44:$B$61,$B38)*SUMIF($B$17:$B$22,$A$33,$E$17:$E$22)/1000</f>
        <v>9.35</v>
      </c>
    </row>
    <row r="39" spans="1:4" ht="13.2">
      <c r="A39" s="20" t="s">
        <v>471</v>
      </c>
      <c r="B39" s="20" t="s">
        <v>196</v>
      </c>
      <c r="C39" s="46">
        <f ca="1">SUMIFS(OFFSET('Clean Fleet Calcs'!$C$44:$C$61,0,MATCH(C$32,'Clean Fleet Calcs'!$C$43:$J$43)-1),'Clean Fleet Calcs'!$A$44:$A$61,"ldv_gas_"&amp;IF($A$39="light truck","lt","car"),'Clean Fleet Calcs'!$B$44:$B$61,$B39)*SUMIF($B$17:$B$22,$A$39,$E$17:$E$22)/1000</f>
        <v>1636.25</v>
      </c>
    </row>
    <row r="40" spans="1:4" ht="13.2">
      <c r="B40" s="20" t="s">
        <v>197</v>
      </c>
      <c r="C40" s="46">
        <f ca="1">SUMIFS(OFFSET('Clean Fleet Calcs'!$C$44:$C$61,0,MATCH(C$32,'Clean Fleet Calcs'!$C$43:$J$43)-1),'Clean Fleet Calcs'!$A$44:$A$61,"ldv_gas_"&amp;IF($A$39="light truck","lt","car"),'Clean Fleet Calcs'!$B$44:$B$61,$B40)*SUMIF($B$17:$B$22,$A$39,$E$17:$E$22)/1000</f>
        <v>26956.05</v>
      </c>
    </row>
    <row r="41" spans="1:4" ht="13.2">
      <c r="B41" s="20" t="s">
        <v>198</v>
      </c>
      <c r="C41" s="46">
        <f ca="1">SUMIFS(OFFSET('Clean Fleet Calcs'!$C$44:$C$61,0,MATCH(C$32,'Clean Fleet Calcs'!$C$43:$J$43)-1),'Clean Fleet Calcs'!$A$44:$A$61,"ldv_gas_"&amp;IF($A$39="light truck","lt","car"),'Clean Fleet Calcs'!$B$44:$B$61,$B41)*SUMIF($B$17:$B$22,$A$39,$E$17:$E$22)/1000</f>
        <v>832.15</v>
      </c>
    </row>
    <row r="42" spans="1:4" ht="13.2">
      <c r="B42" s="20" t="s">
        <v>199</v>
      </c>
      <c r="C42" s="46">
        <f ca="1">SUMIFS(OFFSET('Clean Fleet Calcs'!$C$44:$C$61,0,MATCH(C$32,'Clean Fleet Calcs'!$C$43:$J$43)-1),'Clean Fleet Calcs'!$A$44:$A$61,"ldv_gas_"&amp;IF($A$39="light truck","lt","car"),'Clean Fleet Calcs'!$B$44:$B$61,$B42)*SUMIF($B$17:$B$22,$A$39,$E$17:$E$22)/1000</f>
        <v>46.75</v>
      </c>
    </row>
    <row r="43" spans="1:4" ht="13.2">
      <c r="B43" s="20" t="s">
        <v>200</v>
      </c>
      <c r="C43" s="46">
        <f ca="1">SUMIFS(OFFSET('Clean Fleet Calcs'!$C$44:$C$61,0,MATCH(C$32,'Clean Fleet Calcs'!$C$43:$J$43)-1),'Clean Fleet Calcs'!$A$44:$A$61,"ldv_gas_"&amp;IF($A$39="light truck","lt","car"),'Clean Fleet Calcs'!$B$44:$B$61,$B43)*SUMIF($B$17:$B$22,$A$39,$E$17:$E$22)/1000</f>
        <v>28.05</v>
      </c>
    </row>
    <row r="44" spans="1:4" ht="13.2">
      <c r="B44" s="20" t="s">
        <v>201</v>
      </c>
      <c r="C44" s="46">
        <f ca="1">SUMIFS(OFFSET('Clean Fleet Calcs'!$C$44:$C$61,0,MATCH(C$32,'Clean Fleet Calcs'!$C$43:$J$43)-1),'Clean Fleet Calcs'!$A$44:$A$61,"ldv_gas_"&amp;IF($A$39="light truck","lt","car"),'Clean Fleet Calcs'!$B$44:$B$61,$B44)*SUMIF($B$17:$B$22,$A$39,$E$17:$E$22)/1000</f>
        <v>9.35</v>
      </c>
    </row>
    <row r="46" spans="1:4" ht="13.2">
      <c r="C46" s="20">
        <f>C32</f>
        <v>2050</v>
      </c>
    </row>
    <row r="47" spans="1:4" ht="13.2">
      <c r="B47" s="20" t="s">
        <v>505</v>
      </c>
      <c r="C47" s="46">
        <f t="shared" ref="C47:C50" ca="1" si="13">SUMIF($B$33:$B$44,"*"&amp;$B47&amp;"*",C$33:C$44)</f>
        <v>3122.9</v>
      </c>
    </row>
    <row r="48" spans="1:4" ht="13.2">
      <c r="B48" s="20" t="s">
        <v>506</v>
      </c>
      <c r="C48" s="46">
        <f t="shared" ca="1" si="13"/>
        <v>50405.85</v>
      </c>
    </row>
    <row r="49" spans="2:3" ht="13.2">
      <c r="B49" s="20" t="s">
        <v>507</v>
      </c>
      <c r="C49" s="46">
        <f t="shared" ca="1" si="13"/>
        <v>1337.05</v>
      </c>
    </row>
    <row r="50" spans="2:3" ht="13.2">
      <c r="B50" s="20" t="s">
        <v>508</v>
      </c>
      <c r="C50" s="46">
        <f t="shared" ca="1" si="13"/>
        <v>158.94999999999999</v>
      </c>
    </row>
  </sheetData>
  <conditionalFormatting sqref="M17:M19 G17:G21">
    <cfRule type="cellIs" dxfId="2" priority="1" operator="lessThan">
      <formula>0</formula>
    </cfRule>
  </conditionalFormatting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F0"/>
    <outlinePr summaryBelow="0" summaryRight="0"/>
  </sheetPr>
  <dimension ref="A1:T101"/>
  <sheetViews>
    <sheetView workbookViewId="0">
      <selection activeCell="F65" sqref="F65"/>
    </sheetView>
  </sheetViews>
  <sheetFormatPr defaultColWidth="12.5546875" defaultRowHeight="15.75" customHeight="1"/>
  <sheetData>
    <row r="1" spans="1:20" s="249" customFormat="1" ht="33.6" customHeight="1">
      <c r="A1" s="249" t="s">
        <v>752</v>
      </c>
    </row>
    <row r="2" spans="1:20" ht="13.2">
      <c r="C2" s="274" t="s">
        <v>639</v>
      </c>
      <c r="D2" s="275"/>
      <c r="E2" s="275"/>
      <c r="F2" s="275"/>
      <c r="G2" s="275"/>
      <c r="H2" s="275"/>
      <c r="I2" s="275"/>
      <c r="J2" s="275"/>
      <c r="M2" s="274" t="s">
        <v>640</v>
      </c>
      <c r="N2" s="275"/>
      <c r="O2" s="275"/>
      <c r="P2" s="275"/>
      <c r="Q2" s="275"/>
      <c r="R2" s="275"/>
      <c r="S2" s="275"/>
      <c r="T2" s="275"/>
    </row>
    <row r="3" spans="1:20" ht="13.2">
      <c r="C3" s="273" t="s">
        <v>641</v>
      </c>
      <c r="D3" s="275"/>
      <c r="E3" s="275"/>
      <c r="F3" s="275"/>
      <c r="G3" s="275"/>
      <c r="H3" s="275"/>
      <c r="I3" s="275"/>
      <c r="J3" s="275"/>
      <c r="M3" s="273" t="s">
        <v>642</v>
      </c>
      <c r="N3" s="275"/>
      <c r="O3" s="275"/>
      <c r="P3" s="275"/>
      <c r="Q3" s="275"/>
      <c r="R3" s="275"/>
      <c r="S3" s="275"/>
      <c r="T3" s="275"/>
    </row>
    <row r="4" spans="1:20" ht="13.2">
      <c r="A4" s="140" t="s">
        <v>27</v>
      </c>
      <c r="B4" s="140" t="s">
        <v>643</v>
      </c>
      <c r="C4" s="270" t="s">
        <v>294</v>
      </c>
      <c r="D4" s="270" t="s">
        <v>295</v>
      </c>
      <c r="E4" s="270" t="s">
        <v>296</v>
      </c>
      <c r="F4" s="270" t="s">
        <v>297</v>
      </c>
      <c r="G4" s="270" t="s">
        <v>298</v>
      </c>
      <c r="H4" s="270" t="s">
        <v>299</v>
      </c>
      <c r="I4" s="270" t="s">
        <v>300</v>
      </c>
      <c r="J4" s="269" t="s">
        <v>301</v>
      </c>
      <c r="K4" s="140" t="s">
        <v>27</v>
      </c>
      <c r="L4" s="140" t="s">
        <v>643</v>
      </c>
      <c r="M4" s="270" t="str">
        <f t="shared" ref="M4:T4" si="0">C$4</f>
        <v>0 to 1</v>
      </c>
      <c r="N4" s="270" t="str">
        <f t="shared" si="0"/>
        <v>1 to 2</v>
      </c>
      <c r="O4" s="270" t="str">
        <f t="shared" si="0"/>
        <v>2 to 4</v>
      </c>
      <c r="P4" s="270" t="str">
        <f t="shared" si="0"/>
        <v>4 to 8</v>
      </c>
      <c r="Q4" s="270" t="str">
        <f t="shared" si="0"/>
        <v>8 to 16</v>
      </c>
      <c r="R4" s="270" t="str">
        <f t="shared" si="0"/>
        <v>16 to 32</v>
      </c>
      <c r="S4" s="270" t="str">
        <f t="shared" si="0"/>
        <v>32 to 64</v>
      </c>
      <c r="T4" s="270" t="str">
        <f t="shared" si="0"/>
        <v>Over 64</v>
      </c>
    </row>
    <row r="5" spans="1:20" ht="13.2">
      <c r="A5" s="20" t="str">
        <f t="array" ref="A5:J16">'replica trips'!B49:K60</f>
        <v>Greene</v>
      </c>
      <c r="B5" s="20" t="str">
        <v>auto</v>
      </c>
      <c r="C5" s="271">
        <f ca="1"/>
        <v>7.4176094787349088E-3</v>
      </c>
      <c r="D5" s="271">
        <f ca="1"/>
        <v>2.3155391242556646E-2</v>
      </c>
      <c r="E5" s="271">
        <f ca="1"/>
        <v>7.2869516038597842E-2</v>
      </c>
      <c r="F5" s="271">
        <f ca="1"/>
        <v>0.16804784583429877</v>
      </c>
      <c r="G5" s="271">
        <f ca="1"/>
        <v>0.34910727599640434</v>
      </c>
      <c r="H5" s="271">
        <f ca="1"/>
        <v>0.31986409849770686</v>
      </c>
      <c r="I5" s="271">
        <f ca="1"/>
        <v>5.7372249657462251E-2</v>
      </c>
      <c r="J5" s="271">
        <f ca="1"/>
        <v>2.1660132542383041E-3</v>
      </c>
      <c r="K5" s="20" t="str">
        <f t="array" ref="K5:T16">'replica trips'!M49:V60</f>
        <v>Greene</v>
      </c>
      <c r="L5" s="20" t="str">
        <v>auto</v>
      </c>
      <c r="M5" s="272">
        <v>0.61414159299497051</v>
      </c>
      <c r="N5" s="271">
        <v>0.83691764352960762</v>
      </c>
      <c r="O5" s="271">
        <v>0.97476929867341622</v>
      </c>
      <c r="P5" s="271">
        <v>0.9929190344723221</v>
      </c>
      <c r="Q5" s="271">
        <v>0.9965190155832172</v>
      </c>
      <c r="R5" s="271">
        <v>0.99458458104956438</v>
      </c>
      <c r="S5" s="271">
        <v>1</v>
      </c>
      <c r="T5" s="271">
        <v>1</v>
      </c>
    </row>
    <row r="6" spans="1:20" ht="13.2">
      <c r="A6" s="20" t="str">
        <v>Greene</v>
      </c>
      <c r="B6" s="20" t="str">
        <v>biking</v>
      </c>
      <c r="C6" s="271">
        <f ca="1"/>
        <v>1.9981900980850068E-2</v>
      </c>
      <c r="D6" s="271">
        <f ca="1"/>
        <v>8.0088159738439982E-2</v>
      </c>
      <c r="E6" s="271">
        <f ca="1"/>
        <v>0.36856317141522649</v>
      </c>
      <c r="F6" s="271">
        <f ca="1"/>
        <v>0.4914321578701541</v>
      </c>
      <c r="G6" s="271">
        <f ca="1"/>
        <v>3.9934609995329287E-2</v>
      </c>
      <c r="H6" s="271">
        <f ca="1"/>
        <v>0</v>
      </c>
      <c r="I6" s="271">
        <f ca="1"/>
        <v>0</v>
      </c>
      <c r="J6" s="271">
        <f ca="1"/>
        <v>0</v>
      </c>
      <c r="K6" s="20" t="str">
        <v>Greene</v>
      </c>
      <c r="L6" s="20" t="str">
        <v>biking</v>
      </c>
      <c r="M6" s="272">
        <v>2.8857382557409121E-3</v>
      </c>
      <c r="N6" s="271">
        <v>5.0491061692587002E-3</v>
      </c>
      <c r="O6" s="271">
        <v>8.5997035688888997E-3</v>
      </c>
      <c r="P6" s="271">
        <v>5.0647737158266174E-3</v>
      </c>
      <c r="Q6" s="271">
        <v>1.9883449266826878E-4</v>
      </c>
      <c r="R6" s="271">
        <v>0</v>
      </c>
      <c r="S6" s="271">
        <v>0</v>
      </c>
      <c r="T6" s="271">
        <v>0</v>
      </c>
    </row>
    <row r="7" spans="1:20" ht="13.2">
      <c r="A7" s="20" t="str">
        <v>Greene</v>
      </c>
      <c r="B7" s="20" t="str">
        <v>public_transit</v>
      </c>
      <c r="C7" s="271">
        <f ca="1"/>
        <v>1.3867381607229529E-4</v>
      </c>
      <c r="D7" s="271">
        <f ca="1"/>
        <v>1.1563855440250844E-2</v>
      </c>
      <c r="E7" s="271">
        <f ca="1"/>
        <v>2.6764046501952986E-2</v>
      </c>
      <c r="F7" s="271">
        <f ca="1"/>
        <v>8.6570981733576788E-2</v>
      </c>
      <c r="G7" s="271">
        <f ca="1"/>
        <v>0.34794030862628178</v>
      </c>
      <c r="H7" s="271">
        <f ca="1"/>
        <v>0.52702213388186536</v>
      </c>
      <c r="I7" s="271">
        <f ca="1"/>
        <v>0</v>
      </c>
      <c r="J7" s="271">
        <f ca="1"/>
        <v>0</v>
      </c>
      <c r="K7" s="20" t="str">
        <v>Greene</v>
      </c>
      <c r="L7" s="20" t="str">
        <v>public_transit</v>
      </c>
      <c r="M7" s="272">
        <v>3.7942504458244278E-5</v>
      </c>
      <c r="N7" s="271">
        <v>1.3812116566534187E-3</v>
      </c>
      <c r="O7" s="271">
        <v>1.1831361212751984E-3</v>
      </c>
      <c r="P7" s="271">
        <v>1.690363902840705E-3</v>
      </c>
      <c r="Q7" s="271">
        <v>3.282149924114409E-3</v>
      </c>
      <c r="R7" s="271">
        <v>5.4154189504356329E-3</v>
      </c>
      <c r="S7" s="271">
        <v>0</v>
      </c>
      <c r="T7" s="271">
        <v>0</v>
      </c>
    </row>
    <row r="8" spans="1:20" ht="13.2">
      <c r="A8" s="20" t="str">
        <v>Greene</v>
      </c>
      <c r="B8" s="20" t="str">
        <v>walking</v>
      </c>
      <c r="C8" s="271">
        <f ca="1"/>
        <v>0.45481288242186324</v>
      </c>
      <c r="D8" s="271">
        <f ca="1"/>
        <v>0.42620447239552556</v>
      </c>
      <c r="E8" s="271">
        <f ca="1"/>
        <v>0.11355989064362036</v>
      </c>
      <c r="F8" s="271">
        <f ca="1"/>
        <v>5.4227545389907567E-3</v>
      </c>
      <c r="G8" s="271">
        <f ca="1"/>
        <v>0</v>
      </c>
      <c r="H8" s="271">
        <f ca="1"/>
        <v>0</v>
      </c>
      <c r="I8" s="271">
        <f ca="1"/>
        <v>0</v>
      </c>
      <c r="J8" s="271">
        <f ca="1"/>
        <v>0</v>
      </c>
      <c r="K8" s="20" t="str">
        <v>Greene</v>
      </c>
      <c r="L8" s="20" t="str">
        <v>walking</v>
      </c>
      <c r="M8" s="271">
        <v>0.38293472624483038</v>
      </c>
      <c r="N8" s="271">
        <v>0.15665203864448016</v>
      </c>
      <c r="O8" s="271">
        <v>1.5447861636419612E-2</v>
      </c>
      <c r="P8" s="271">
        <v>3.2582790901067608E-4</v>
      </c>
      <c r="Q8" s="271">
        <v>0</v>
      </c>
      <c r="R8" s="271">
        <v>0</v>
      </c>
      <c r="S8" s="271">
        <v>0</v>
      </c>
      <c r="T8" s="271">
        <v>0</v>
      </c>
    </row>
    <row r="9" spans="1:20" ht="13.2">
      <c r="A9" s="20" t="str">
        <v>Miami</v>
      </c>
      <c r="B9" s="20" t="str">
        <v>auto</v>
      </c>
      <c r="C9" s="271">
        <f ca="1"/>
        <v>1.0441912772813656E-2</v>
      </c>
      <c r="D9" s="271">
        <f ca="1"/>
        <v>2.8168351639715629E-2</v>
      </c>
      <c r="E9" s="271">
        <f ca="1"/>
        <v>7.9253597691058789E-2</v>
      </c>
      <c r="F9" s="271">
        <f ca="1"/>
        <v>0.13825765911169366</v>
      </c>
      <c r="G9" s="271">
        <f ca="1"/>
        <v>0.29855758039112795</v>
      </c>
      <c r="H9" s="271">
        <f ca="1"/>
        <v>0.32052977305770886</v>
      </c>
      <c r="I9" s="271">
        <f ca="1"/>
        <v>0.12337086692414077</v>
      </c>
      <c r="J9" s="271">
        <f ca="1"/>
        <v>1.4202584117405707E-3</v>
      </c>
      <c r="K9" s="20" t="str">
        <v>Miami</v>
      </c>
      <c r="L9" s="20" t="str">
        <v>auto</v>
      </c>
      <c r="M9" s="271">
        <v>0.74019101787465025</v>
      </c>
      <c r="N9" s="271">
        <v>0.90108513640019516</v>
      </c>
      <c r="O9" s="271">
        <v>0.97765704303966827</v>
      </c>
      <c r="P9" s="271">
        <v>0.99445344457628027</v>
      </c>
      <c r="Q9" s="271">
        <v>0.9998132005267808</v>
      </c>
      <c r="R9" s="271">
        <v>0.9999112798460813</v>
      </c>
      <c r="S9" s="271">
        <v>1</v>
      </c>
      <c r="T9" s="271">
        <v>1</v>
      </c>
    </row>
    <row r="10" spans="1:20" ht="13.2">
      <c r="A10" s="20" t="str">
        <v>Miami</v>
      </c>
      <c r="B10" s="20" t="str">
        <v>biking</v>
      </c>
      <c r="C10" s="271">
        <f ca="1"/>
        <v>5.2558782849239288E-2</v>
      </c>
      <c r="D10" s="271">
        <f ca="1"/>
        <v>0.16916397725526358</v>
      </c>
      <c r="E10" s="271">
        <f ca="1"/>
        <v>0.45379975411095752</v>
      </c>
      <c r="F10" s="271">
        <f ca="1"/>
        <v>0.30551713539265413</v>
      </c>
      <c r="G10" s="271">
        <f ca="1"/>
        <v>1.8960350391885664E-2</v>
      </c>
      <c r="H10" s="271">
        <f ca="1"/>
        <v>0</v>
      </c>
      <c r="I10" s="271">
        <f ca="1"/>
        <v>0</v>
      </c>
      <c r="J10" s="271">
        <f ca="1"/>
        <v>0</v>
      </c>
      <c r="K10" s="20" t="str">
        <v>Miami</v>
      </c>
      <c r="L10" s="20" t="str">
        <v>biking</v>
      </c>
      <c r="M10" s="271">
        <v>8.8821363875416347E-3</v>
      </c>
      <c r="N10" s="271">
        <v>1.290091958973728E-2</v>
      </c>
      <c r="O10" s="271">
        <v>1.3345664170368934E-2</v>
      </c>
      <c r="P10" s="271">
        <v>5.2388892658769238E-3</v>
      </c>
      <c r="Q10" s="271">
        <v>1.5137198691912918E-4</v>
      </c>
      <c r="R10" s="271">
        <v>0</v>
      </c>
      <c r="S10" s="271">
        <v>0</v>
      </c>
      <c r="T10" s="271">
        <v>0</v>
      </c>
    </row>
    <row r="11" spans="1:20" ht="13.2">
      <c r="A11" s="20" t="str">
        <v>Miami</v>
      </c>
      <c r="B11" s="20" t="str">
        <v>public_transit</v>
      </c>
      <c r="C11" s="271">
        <f ca="1"/>
        <v>0</v>
      </c>
      <c r="D11" s="271">
        <f ca="1"/>
        <v>3.3203125000000035E-2</v>
      </c>
      <c r="E11" s="271">
        <f ca="1"/>
        <v>3.7109375000000035E-2</v>
      </c>
      <c r="F11" s="271">
        <f ca="1"/>
        <v>9.7656250000000097E-2</v>
      </c>
      <c r="G11" s="271">
        <f ca="1"/>
        <v>0.22558593750000025</v>
      </c>
      <c r="H11" s="271">
        <f ca="1"/>
        <v>0.60644531249999967</v>
      </c>
      <c r="I11" s="271">
        <f ca="1"/>
        <v>0</v>
      </c>
      <c r="J11" s="271">
        <f ca="1"/>
        <v>0</v>
      </c>
      <c r="K11" s="20" t="str">
        <v>Miami</v>
      </c>
      <c r="L11" s="20" t="str">
        <v>public_transit</v>
      </c>
      <c r="M11" s="271">
        <v>0</v>
      </c>
      <c r="N11" s="271">
        <v>4.9810500346475981E-5</v>
      </c>
      <c r="O11" s="271">
        <v>2.146785922507808E-5</v>
      </c>
      <c r="P11" s="271">
        <v>3.2940702124477638E-5</v>
      </c>
      <c r="Q11" s="271">
        <v>3.5427486300221722E-5</v>
      </c>
      <c r="R11" s="271">
        <v>8.8720153918751921E-5</v>
      </c>
      <c r="S11" s="271">
        <v>0</v>
      </c>
      <c r="T11" s="271">
        <v>0</v>
      </c>
    </row>
    <row r="12" spans="1:20" ht="13.2">
      <c r="A12" s="20" t="str">
        <v>Miami</v>
      </c>
      <c r="B12" s="20" t="str">
        <v>walking</v>
      </c>
      <c r="C12" s="271">
        <f ca="1"/>
        <v>0.50620194637641291</v>
      </c>
      <c r="D12" s="271">
        <f ca="1"/>
        <v>0.38428490968865836</v>
      </c>
      <c r="E12" s="271">
        <f ca="1"/>
        <v>0.10405123973437071</v>
      </c>
      <c r="F12" s="271">
        <f ca="1"/>
        <v>5.4619042005579791E-3</v>
      </c>
      <c r="G12" s="271">
        <f ca="1"/>
        <v>0</v>
      </c>
      <c r="H12" s="271">
        <f ca="1"/>
        <v>0</v>
      </c>
      <c r="I12" s="271">
        <f ca="1"/>
        <v>0</v>
      </c>
      <c r="J12" s="271">
        <f ca="1"/>
        <v>0</v>
      </c>
      <c r="K12" s="20" t="str">
        <v>Miami</v>
      </c>
      <c r="L12" s="20" t="str">
        <v>walking</v>
      </c>
      <c r="M12" s="271">
        <v>0.25092684573780816</v>
      </c>
      <c r="N12" s="271">
        <v>8.5964133509721111E-2</v>
      </c>
      <c r="O12" s="271">
        <v>8.9758249307379089E-3</v>
      </c>
      <c r="P12" s="271">
        <v>2.7472545571814353E-4</v>
      </c>
      <c r="Q12" s="271">
        <v>0</v>
      </c>
      <c r="R12" s="271">
        <v>0</v>
      </c>
      <c r="S12" s="271">
        <v>0</v>
      </c>
      <c r="T12" s="271">
        <v>0</v>
      </c>
    </row>
    <row r="13" spans="1:20" ht="13.2">
      <c r="A13" s="20" t="str">
        <v>Montgomery</v>
      </c>
      <c r="B13" s="20" t="str">
        <v>auto</v>
      </c>
      <c r="C13" s="271">
        <f ca="1"/>
        <v>8.1193710579520861E-3</v>
      </c>
      <c r="D13" s="271">
        <f ca="1"/>
        <v>2.5697636565401749E-2</v>
      </c>
      <c r="E13" s="271">
        <f ca="1"/>
        <v>8.8900327073945892E-2</v>
      </c>
      <c r="F13" s="271">
        <f ca="1"/>
        <v>0.21009326877801571</v>
      </c>
      <c r="G13" s="271">
        <f ca="1"/>
        <v>0.3596462374343905</v>
      </c>
      <c r="H13" s="271">
        <f ca="1"/>
        <v>0.27324146673389305</v>
      </c>
      <c r="I13" s="271">
        <f ca="1"/>
        <v>3.3431991215839126E-2</v>
      </c>
      <c r="J13" s="271">
        <f ca="1"/>
        <v>8.6970114056192014E-4</v>
      </c>
      <c r="K13" s="20" t="str">
        <v>Montgomery</v>
      </c>
      <c r="L13" s="20" t="str">
        <v>auto</v>
      </c>
      <c r="M13" s="271">
        <v>0.60177132849637227</v>
      </c>
      <c r="N13" s="271">
        <v>0.83746845071396459</v>
      </c>
      <c r="O13" s="271">
        <v>0.96847271096608845</v>
      </c>
      <c r="P13" s="271">
        <v>0.98508192446728826</v>
      </c>
      <c r="Q13" s="271">
        <v>0.991247720685832</v>
      </c>
      <c r="R13" s="271">
        <v>0.99153597550770534</v>
      </c>
      <c r="S13" s="271">
        <v>0.9990676142511199</v>
      </c>
      <c r="T13" s="271">
        <v>1</v>
      </c>
    </row>
    <row r="14" spans="1:20" ht="13.2">
      <c r="A14" s="20" t="str">
        <v>Montgomery</v>
      </c>
      <c r="B14" s="20" t="str">
        <v>biking</v>
      </c>
      <c r="C14" s="271">
        <f ca="1"/>
        <v>1.1738059714907156E-2</v>
      </c>
      <c r="D14" s="271">
        <f ca="1"/>
        <v>6.3151240615244505E-2</v>
      </c>
      <c r="E14" s="271">
        <f ca="1"/>
        <v>0.36913771098847764</v>
      </c>
      <c r="F14" s="271">
        <f ca="1"/>
        <v>0.50641728532652663</v>
      </c>
      <c r="G14" s="271">
        <f ca="1"/>
        <v>4.9555703354844119E-2</v>
      </c>
      <c r="H14" s="271">
        <f ca="1"/>
        <v>0</v>
      </c>
      <c r="I14" s="271">
        <f ca="1"/>
        <v>0</v>
      </c>
      <c r="J14" s="271">
        <f ca="1"/>
        <v>0</v>
      </c>
      <c r="K14" s="20" t="str">
        <v>Montgomery</v>
      </c>
      <c r="L14" s="20" t="str">
        <v>biking</v>
      </c>
      <c r="M14" s="271">
        <v>2.8006719325208195E-3</v>
      </c>
      <c r="N14" s="271">
        <v>6.6254286459659353E-3</v>
      </c>
      <c r="O14" s="271">
        <v>1.2945811106081829E-2</v>
      </c>
      <c r="P14" s="271">
        <v>7.6440858286558064E-3</v>
      </c>
      <c r="Q14" s="271">
        <v>4.3970068985771366E-4</v>
      </c>
      <c r="R14" s="271">
        <v>0</v>
      </c>
      <c r="S14" s="271">
        <v>0</v>
      </c>
      <c r="T14" s="271">
        <v>0</v>
      </c>
    </row>
    <row r="15" spans="1:20" ht="13.2">
      <c r="A15" s="20" t="str">
        <v>Montgomery</v>
      </c>
      <c r="B15" s="20" t="str">
        <v>public_transit</v>
      </c>
      <c r="C15" s="271">
        <f ca="1"/>
        <v>1.9358194612200071E-3</v>
      </c>
      <c r="D15" s="271">
        <f ca="1"/>
        <v>2.0786443973959012E-2</v>
      </c>
      <c r="E15" s="271">
        <f ca="1"/>
        <v>7.8285445836728682E-2</v>
      </c>
      <c r="F15" s="271">
        <f ca="1"/>
        <v>0.1964762292201683</v>
      </c>
      <c r="G15" s="271">
        <f ca="1"/>
        <v>0.39385046707784466</v>
      </c>
      <c r="H15" s="271">
        <f ca="1"/>
        <v>0.30459117936368596</v>
      </c>
      <c r="I15" s="271">
        <f ca="1"/>
        <v>4.0744150663934442E-3</v>
      </c>
      <c r="J15" s="271">
        <f ca="1"/>
        <v>0</v>
      </c>
      <c r="K15" s="20" t="str">
        <v>Montgomery</v>
      </c>
      <c r="L15" s="20" t="str">
        <v>public_transit</v>
      </c>
      <c r="M15" s="271">
        <v>1.0986811537224345E-3</v>
      </c>
      <c r="N15" s="271">
        <v>5.1874412625372074E-3</v>
      </c>
      <c r="O15" s="271">
        <v>6.5307457891677686E-3</v>
      </c>
      <c r="P15" s="271">
        <v>7.0545277670225016E-3</v>
      </c>
      <c r="Q15" s="271">
        <v>8.3125786243102469E-3</v>
      </c>
      <c r="R15" s="271">
        <v>8.4640244922946761E-3</v>
      </c>
      <c r="S15" s="271">
        <v>9.3238574888012825E-4</v>
      </c>
      <c r="T15" s="271">
        <v>0</v>
      </c>
    </row>
    <row r="16" spans="1:20" ht="13.2">
      <c r="A16" s="20" t="str">
        <v>Montgomery</v>
      </c>
      <c r="B16" s="20" t="str">
        <v>walking</v>
      </c>
      <c r="C16" s="271">
        <f ca="1"/>
        <v>0.47939706789721132</v>
      </c>
      <c r="D16" s="271">
        <f ca="1"/>
        <v>0.41671315970140177</v>
      </c>
      <c r="E16" s="271">
        <f ca="1"/>
        <v>9.9672376185137884E-2</v>
      </c>
      <c r="F16" s="271">
        <f ca="1"/>
        <v>4.2173962162490993E-3</v>
      </c>
      <c r="G16" s="271">
        <f ca="1"/>
        <v>0</v>
      </c>
      <c r="H16" s="271">
        <f ca="1"/>
        <v>0</v>
      </c>
      <c r="I16" s="271">
        <f ca="1"/>
        <v>0</v>
      </c>
      <c r="J16" s="271">
        <f ca="1"/>
        <v>0</v>
      </c>
      <c r="K16" s="20" t="str">
        <v>Montgomery</v>
      </c>
      <c r="L16" s="20" t="str">
        <v>walking</v>
      </c>
      <c r="M16" s="271">
        <v>0.39432931841738444</v>
      </c>
      <c r="N16" s="271">
        <v>0.15071867937753219</v>
      </c>
      <c r="O16" s="271">
        <v>1.2050732138661906E-2</v>
      </c>
      <c r="P16" s="271">
        <v>2.19461937033553E-4</v>
      </c>
      <c r="Q16" s="271">
        <v>0</v>
      </c>
      <c r="R16" s="271">
        <v>0</v>
      </c>
      <c r="S16" s="271">
        <v>0</v>
      </c>
      <c r="T16" s="271">
        <v>0</v>
      </c>
    </row>
    <row r="18" spans="1:11" ht="13.2">
      <c r="A18" s="45" t="s">
        <v>644</v>
      </c>
    </row>
    <row r="19" spans="1:11" ht="13.2">
      <c r="A19" s="140" t="s">
        <v>27</v>
      </c>
      <c r="B19" s="140" t="s">
        <v>225</v>
      </c>
      <c r="C19" s="140" t="s">
        <v>645</v>
      </c>
      <c r="D19" s="140" t="s">
        <v>224</v>
      </c>
      <c r="E19" s="140" t="s">
        <v>32</v>
      </c>
    </row>
    <row r="20" spans="1:11" ht="13.2">
      <c r="A20" s="20" t="s">
        <v>5</v>
      </c>
      <c r="B20" s="25">
        <f ca="1">IFERROR(__xludf.DUMMYFUNCTION("{importrange(""https://docs.google.com/spreadsheets/d/1ImT8ZpJHesursP2VpI6r4uL5tBrVJErh28Cy8dFoAMk/edit#gid=1808968093"",""Dayton Kettering MSA Summary!B24:D26"")}"),10.3334457087731)</f>
        <v>10.3334457087731</v>
      </c>
      <c r="C20" s="25">
        <f ca="1">IFERROR(__xludf.DUMMYFUNCTION("""COMPUTED_VALUE"""),1058.58602832822)</f>
        <v>1058.58602832822</v>
      </c>
      <c r="D20" s="25">
        <f ca="1">IFERROR(__xludf.DUMMYFUNCTION("""COMPUTED_VALUE"""),284.496459125986)</f>
        <v>284.49645912598601</v>
      </c>
      <c r="E20" s="25">
        <f t="shared" ref="E20:E22" ca="1" si="1">SUM(B20:D20)</f>
        <v>1353.4159331629789</v>
      </c>
    </row>
    <row r="21" spans="1:11" ht="13.2">
      <c r="A21" s="20" t="s">
        <v>9</v>
      </c>
      <c r="B21" s="25">
        <f ca="1">IFERROR(__xludf.DUMMYFUNCTION("""COMPUTED_VALUE"""),7.04195033241187)</f>
        <v>7.0419503324118704</v>
      </c>
      <c r="C21" s="25">
        <f ca="1">IFERROR(__xludf.DUMMYFUNCTION("""COMPUTED_VALUE"""),721.396370984323)</f>
        <v>721.39637098432297</v>
      </c>
      <c r="D21" s="25">
        <f ca="1">IFERROR(__xludf.DUMMYFUNCTION("""COMPUTED_VALUE"""),193.876272385244)</f>
        <v>193.87627238524399</v>
      </c>
      <c r="E21" s="25">
        <f t="shared" ca="1" si="1"/>
        <v>922.31459370197877</v>
      </c>
    </row>
    <row r="22" spans="1:11" ht="13.2">
      <c r="A22" s="20" t="s">
        <v>10</v>
      </c>
      <c r="B22" s="25">
        <f ca="1">IFERROR(__xludf.DUMMYFUNCTION("""COMPUTED_VALUE"""),29.2843465528568)</f>
        <v>29.2843465528568</v>
      </c>
      <c r="C22" s="25">
        <f ca="1">IFERROR(__xludf.DUMMYFUNCTION("""COMPUTED_VALUE"""),2999.9673858311)</f>
        <v>2999.9673858310998</v>
      </c>
      <c r="D22" s="25">
        <f ca="1">IFERROR(__xludf.DUMMYFUNCTION("""COMPUTED_VALUE"""),806.245383863847)</f>
        <v>806.245383863847</v>
      </c>
      <c r="E22" s="25">
        <f t="shared" ca="1" si="1"/>
        <v>3835.4971162478037</v>
      </c>
    </row>
    <row r="23" spans="1:11" ht="13.2">
      <c r="A23" s="20" t="s">
        <v>646</v>
      </c>
      <c r="B23" s="95">
        <f t="shared" ref="B23:D23" ca="1" si="2">SUM(B20:B22)/SUM($E$20:$E$22)</f>
        <v>7.6350850138312927E-3</v>
      </c>
      <c r="C23" s="95">
        <f t="shared" ca="1" si="2"/>
        <v>0.7821586863206702</v>
      </c>
      <c r="D23" s="95">
        <f t="shared" ca="1" si="2"/>
        <v>0.21020622866549857</v>
      </c>
    </row>
    <row r="25" spans="1:11" ht="13.2">
      <c r="A25" s="45" t="s">
        <v>647</v>
      </c>
    </row>
    <row r="26" spans="1:11" ht="13.2">
      <c r="A26" s="140" t="s">
        <v>27</v>
      </c>
      <c r="B26" s="166" t="str">
        <f t="shared" ref="B26:I26" si="3">C$4</f>
        <v>0 to 1</v>
      </c>
      <c r="C26" s="166" t="str">
        <f t="shared" si="3"/>
        <v>1 to 2</v>
      </c>
      <c r="D26" s="166" t="str">
        <f t="shared" si="3"/>
        <v>2 to 4</v>
      </c>
      <c r="E26" s="166" t="str">
        <f t="shared" si="3"/>
        <v>4 to 8</v>
      </c>
      <c r="F26" s="166" t="str">
        <f t="shared" si="3"/>
        <v>8 to 16</v>
      </c>
      <c r="G26" s="166" t="str">
        <f t="shared" si="3"/>
        <v>16 to 32</v>
      </c>
      <c r="H26" s="166" t="str">
        <f t="shared" si="3"/>
        <v>32 to 64</v>
      </c>
      <c r="I26" s="166" t="str">
        <f t="shared" si="3"/>
        <v>Over 64</v>
      </c>
    </row>
    <row r="27" spans="1:11" ht="13.2">
      <c r="A27" s="20" t="s">
        <v>5</v>
      </c>
      <c r="B27" s="25">
        <f t="shared" ref="B27:I27" ca="1" si="4">$E20*SUMIFS(C$5:C$16,$A$5:$A$16,$A27,$B$5:$B$16,"auto")</f>
        <v>10.039110854500564</v>
      </c>
      <c r="C27" s="25">
        <f t="shared" ca="1" si="4"/>
        <v>31.338875446298673</v>
      </c>
      <c r="D27" s="25">
        <f t="shared" ca="1" si="4"/>
        <v>98.622764048513559</v>
      </c>
      <c r="E27" s="25">
        <f t="shared" ca="1" si="4"/>
        <v>227.43863208585589</v>
      </c>
      <c r="F27" s="25">
        <f t="shared" ca="1" si="4"/>
        <v>472.4873497166592</v>
      </c>
      <c r="G27" s="25">
        <f t="shared" ca="1" si="4"/>
        <v>432.90916735360895</v>
      </c>
      <c r="H27" s="25">
        <f t="shared" ca="1" si="4"/>
        <v>77.648516807813678</v>
      </c>
      <c r="I27" s="25">
        <f t="shared" ca="1" si="4"/>
        <v>2.9315168497283151</v>
      </c>
    </row>
    <row r="28" spans="1:11" ht="13.2">
      <c r="A28" s="20" t="s">
        <v>9</v>
      </c>
      <c r="B28" s="25">
        <f t="shared" ref="B28:I28" ca="1" si="5">$E21*SUMIFS(C$5:C$16,$A$5:$A$16,$A28,$B$5:$B$16,"auto")</f>
        <v>9.63072853652913</v>
      </c>
      <c r="C28" s="25">
        <f t="shared" ca="1" si="5"/>
        <v>25.980081797838789</v>
      </c>
      <c r="D28" s="25">
        <f t="shared" ca="1" si="5"/>
        <v>73.096749753848968</v>
      </c>
      <c r="E28" s="25">
        <f t="shared" ca="1" si="5"/>
        <v>127.51705668978842</v>
      </c>
      <c r="F28" s="25">
        <f t="shared" ca="1" si="5"/>
        <v>275.36401345508904</v>
      </c>
      <c r="G28" s="25">
        <f t="shared" ca="1" si="5"/>
        <v>295.62928740710822</v>
      </c>
      <c r="H28" s="25">
        <f t="shared" ca="1" si="5"/>
        <v>113.78675100179979</v>
      </c>
      <c r="I28" s="25">
        <f t="shared" ca="1" si="5"/>
        <v>1.3099250599763221</v>
      </c>
    </row>
    <row r="29" spans="1:11" ht="13.2">
      <c r="A29" s="20" t="s">
        <v>10</v>
      </c>
      <c r="B29" s="25">
        <f t="shared" ref="B29:I29" ca="1" si="6">$E22*SUMIFS(C$5:C$16,$A$5:$A$16,$A29,$B$5:$B$16,"auto")</f>
        <v>31.141824278521106</v>
      </c>
      <c r="C29" s="25">
        <f t="shared" ca="1" si="6"/>
        <v>98.563210940982529</v>
      </c>
      <c r="D29" s="25">
        <f t="shared" ca="1" si="6"/>
        <v>340.97694812560604</v>
      </c>
      <c r="E29" s="25">
        <f t="shared" ca="1" si="6"/>
        <v>805.81212654115393</v>
      </c>
      <c r="F29" s="25">
        <f t="shared" ca="1" si="6"/>
        <v>1379.4221065489776</v>
      </c>
      <c r="G29" s="25">
        <f t="shared" ca="1" si="6"/>
        <v>1048.0168576971669</v>
      </c>
      <c r="H29" s="25">
        <f t="shared" ca="1" si="6"/>
        <v>128.22830589877287</v>
      </c>
      <c r="I29" s="25">
        <f t="shared" ca="1" si="6"/>
        <v>3.3357362166226703</v>
      </c>
    </row>
    <row r="31" spans="1:11" ht="13.2">
      <c r="A31" s="45" t="s">
        <v>648</v>
      </c>
    </row>
    <row r="32" spans="1:11" ht="13.2">
      <c r="C32" s="20" t="s">
        <v>641</v>
      </c>
      <c r="K32" s="45" t="s">
        <v>649</v>
      </c>
    </row>
    <row r="33" spans="1:19" ht="13.2">
      <c r="A33" s="140" t="s">
        <v>27</v>
      </c>
      <c r="B33" s="140" t="s">
        <v>643</v>
      </c>
      <c r="C33" s="166" t="str">
        <f t="shared" ref="C33:J33" si="7">C$4</f>
        <v>0 to 1</v>
      </c>
      <c r="D33" s="166" t="str">
        <f t="shared" si="7"/>
        <v>1 to 2</v>
      </c>
      <c r="E33" s="166" t="str">
        <f t="shared" si="7"/>
        <v>2 to 4</v>
      </c>
      <c r="F33" s="166" t="str">
        <f t="shared" si="7"/>
        <v>4 to 8</v>
      </c>
      <c r="G33" s="166" t="str">
        <f t="shared" si="7"/>
        <v>8 to 16</v>
      </c>
      <c r="H33" s="166" t="str">
        <f t="shared" si="7"/>
        <v>16 to 32</v>
      </c>
      <c r="I33" s="166" t="str">
        <f t="shared" si="7"/>
        <v>32 to 64</v>
      </c>
      <c r="J33" s="166" t="str">
        <f t="shared" si="7"/>
        <v>Over 64</v>
      </c>
      <c r="K33" s="166" t="str">
        <f t="shared" ref="K33:R33" si="8">C33</f>
        <v>0 to 1</v>
      </c>
      <c r="L33" s="166" t="str">
        <f t="shared" si="8"/>
        <v>1 to 2</v>
      </c>
      <c r="M33" s="166" t="str">
        <f t="shared" si="8"/>
        <v>2 to 4</v>
      </c>
      <c r="N33" s="166" t="str">
        <f t="shared" si="8"/>
        <v>4 to 8</v>
      </c>
      <c r="O33" s="166" t="str">
        <f t="shared" si="8"/>
        <v>8 to 16</v>
      </c>
      <c r="P33" s="166" t="str">
        <f t="shared" si="8"/>
        <v>16 to 32</v>
      </c>
      <c r="Q33" s="166" t="str">
        <f t="shared" si="8"/>
        <v>32 to 64</v>
      </c>
      <c r="R33" s="166" t="str">
        <f t="shared" si="8"/>
        <v>Over 64</v>
      </c>
      <c r="S33" s="166" t="s">
        <v>650</v>
      </c>
    </row>
    <row r="34" spans="1:19" ht="13.2">
      <c r="A34" s="20" t="s">
        <v>5</v>
      </c>
      <c r="B34" s="20" t="s">
        <v>302</v>
      </c>
      <c r="C34" s="167">
        <f t="shared" ref="C34:J34" si="9">1-SUM(C35:C37)</f>
        <v>0.59485056976994177</v>
      </c>
      <c r="D34" s="167">
        <f t="shared" si="9"/>
        <v>0.82883258628892076</v>
      </c>
      <c r="E34" s="167">
        <f t="shared" si="9"/>
        <v>0.97433931349497183</v>
      </c>
      <c r="F34" s="167">
        <f t="shared" si="9"/>
        <v>0.99266579578653069</v>
      </c>
      <c r="G34" s="167">
        <f t="shared" si="9"/>
        <v>0.99651901558321732</v>
      </c>
      <c r="H34" s="167">
        <f t="shared" si="9"/>
        <v>0.99458458104956438</v>
      </c>
      <c r="I34" s="167">
        <f t="shared" si="9"/>
        <v>1</v>
      </c>
      <c r="J34" s="167">
        <f t="shared" si="9"/>
        <v>1</v>
      </c>
      <c r="K34" s="116"/>
    </row>
    <row r="35" spans="1:19" ht="13.2">
      <c r="A35" s="20" t="s">
        <v>5</v>
      </c>
      <c r="B35" s="20" t="s">
        <v>304</v>
      </c>
      <c r="C35" s="167">
        <f t="shared" ref="C35:J35" si="10">SUMIFS(M$5:M$16,$K$5:$K$16,$A35,$L$5:$L$16,$B35)*(1+K35)</f>
        <v>3.0300251685279576E-3</v>
      </c>
      <c r="D35" s="167">
        <f t="shared" si="10"/>
        <v>5.3015614777216355E-3</v>
      </c>
      <c r="E35" s="167">
        <f t="shared" si="10"/>
        <v>9.0296887473333455E-3</v>
      </c>
      <c r="F35" s="167">
        <f t="shared" si="10"/>
        <v>5.3180124016179485E-3</v>
      </c>
      <c r="G35" s="167">
        <f t="shared" si="10"/>
        <v>1.9883449266826878E-4</v>
      </c>
      <c r="H35" s="167">
        <f t="shared" si="10"/>
        <v>0</v>
      </c>
      <c r="I35" s="167">
        <f t="shared" si="10"/>
        <v>0</v>
      </c>
      <c r="J35" s="167">
        <f t="shared" si="10"/>
        <v>0</v>
      </c>
      <c r="K35" s="168">
        <v>0.05</v>
      </c>
      <c r="L35" s="168">
        <v>0.05</v>
      </c>
      <c r="M35" s="168">
        <v>0.05</v>
      </c>
      <c r="N35" s="168">
        <v>0.05</v>
      </c>
      <c r="O35" s="168">
        <v>0</v>
      </c>
      <c r="P35" s="168">
        <v>0</v>
      </c>
      <c r="Q35" s="168">
        <v>0</v>
      </c>
      <c r="R35" s="168">
        <v>0</v>
      </c>
      <c r="S35" s="22">
        <f t="shared" ref="S35:S37" ca="1" si="11">SUMPRODUCT(K35:R35,C6:J6)</f>
        <v>4.8003269500233536E-2</v>
      </c>
    </row>
    <row r="36" spans="1:19" ht="13.2">
      <c r="A36" s="20" t="s">
        <v>5</v>
      </c>
      <c r="B36" s="20" t="s">
        <v>307</v>
      </c>
      <c r="C36" s="167">
        <f t="shared" ref="C36:J36" si="12">SUMIFS(M$5:M$16,$K$5:$K$16,$A36,$L$5:$L$16,$B36)*(1+K36)</f>
        <v>3.7942504458244278E-5</v>
      </c>
      <c r="D36" s="167">
        <f t="shared" si="12"/>
        <v>1.3812116566534187E-3</v>
      </c>
      <c r="E36" s="167">
        <f t="shared" si="12"/>
        <v>1.1831361212751984E-3</v>
      </c>
      <c r="F36" s="167">
        <f t="shared" si="12"/>
        <v>1.690363902840705E-3</v>
      </c>
      <c r="G36" s="167">
        <f t="shared" si="12"/>
        <v>3.282149924114409E-3</v>
      </c>
      <c r="H36" s="167">
        <f t="shared" si="12"/>
        <v>5.4154189504356329E-3</v>
      </c>
      <c r="I36" s="167">
        <f t="shared" si="12"/>
        <v>0</v>
      </c>
      <c r="J36" s="167">
        <f t="shared" si="12"/>
        <v>0</v>
      </c>
      <c r="K36" s="168">
        <v>0</v>
      </c>
      <c r="L36" s="168">
        <v>0</v>
      </c>
      <c r="M36" s="168">
        <v>0</v>
      </c>
      <c r="N36" s="168">
        <v>0</v>
      </c>
      <c r="O36" s="168">
        <v>0</v>
      </c>
      <c r="P36" s="168">
        <v>0</v>
      </c>
      <c r="Q36" s="168">
        <v>0</v>
      </c>
      <c r="R36" s="168">
        <v>0</v>
      </c>
      <c r="S36" s="22">
        <f t="shared" ca="1" si="11"/>
        <v>0</v>
      </c>
    </row>
    <row r="37" spans="1:19" ht="13.2">
      <c r="A37" s="20" t="s">
        <v>5</v>
      </c>
      <c r="B37" s="20" t="s">
        <v>308</v>
      </c>
      <c r="C37" s="167">
        <f t="shared" ref="C37:J37" si="13">SUMIFS(M$5:M$16,$K$5:$K$16,$A37,$L$5:$L$16,$B37)*(1+K37)</f>
        <v>0.40208146255707194</v>
      </c>
      <c r="D37" s="167">
        <f t="shared" si="13"/>
        <v>0.16448464057670417</v>
      </c>
      <c r="E37" s="167">
        <f t="shared" si="13"/>
        <v>1.5447861636419612E-2</v>
      </c>
      <c r="F37" s="167">
        <f t="shared" si="13"/>
        <v>3.2582790901067608E-4</v>
      </c>
      <c r="G37" s="167">
        <f t="shared" si="13"/>
        <v>0</v>
      </c>
      <c r="H37" s="167">
        <f t="shared" si="13"/>
        <v>0</v>
      </c>
      <c r="I37" s="167">
        <f t="shared" si="13"/>
        <v>0</v>
      </c>
      <c r="J37" s="167">
        <f t="shared" si="13"/>
        <v>0</v>
      </c>
      <c r="K37" s="168">
        <v>0.05</v>
      </c>
      <c r="L37" s="168">
        <v>0.05</v>
      </c>
      <c r="M37" s="168">
        <v>0</v>
      </c>
      <c r="N37" s="168">
        <v>0</v>
      </c>
      <c r="O37" s="168">
        <v>0</v>
      </c>
      <c r="P37" s="168">
        <v>0</v>
      </c>
      <c r="Q37" s="168">
        <v>0</v>
      </c>
      <c r="R37" s="168">
        <v>0</v>
      </c>
      <c r="S37" s="22">
        <f t="shared" ca="1" si="11"/>
        <v>4.4050867740869443E-2</v>
      </c>
    </row>
    <row r="38" spans="1:19" ht="13.2">
      <c r="A38" s="20" t="s">
        <v>9</v>
      </c>
      <c r="B38" s="20" t="s">
        <v>302</v>
      </c>
      <c r="C38" s="167">
        <f t="shared" ref="C38:J38" si="14">1-SUM(C39:C41)</f>
        <v>0.72720056876838268</v>
      </c>
      <c r="D38" s="167">
        <f t="shared" si="14"/>
        <v>0.89614188374522219</v>
      </c>
      <c r="E38" s="167">
        <f t="shared" si="14"/>
        <v>0.97698975983114966</v>
      </c>
      <c r="F38" s="167">
        <f t="shared" si="14"/>
        <v>0.99419150011298663</v>
      </c>
      <c r="G38" s="167">
        <f t="shared" si="14"/>
        <v>0.99981320052678069</v>
      </c>
      <c r="H38" s="167">
        <f t="shared" si="14"/>
        <v>0.9999112798460813</v>
      </c>
      <c r="I38" s="167">
        <f t="shared" si="14"/>
        <v>1</v>
      </c>
      <c r="J38" s="167">
        <f t="shared" si="14"/>
        <v>1</v>
      </c>
      <c r="K38" s="116"/>
      <c r="L38" s="116"/>
      <c r="M38" s="116"/>
      <c r="N38" s="116"/>
      <c r="O38" s="116"/>
      <c r="P38" s="116"/>
      <c r="Q38" s="116"/>
      <c r="R38" s="116"/>
      <c r="S38" s="22"/>
    </row>
    <row r="39" spans="1:19" ht="13.2">
      <c r="A39" s="20" t="s">
        <v>9</v>
      </c>
      <c r="B39" s="20" t="s">
        <v>304</v>
      </c>
      <c r="C39" s="167">
        <f t="shared" ref="C39:J39" si="15">SUMIFS(M$5:M$16,$K$5:$K$16,$A39,$L$5:$L$16,$B39)*(1+K39)</f>
        <v>9.3262432069187162E-3</v>
      </c>
      <c r="D39" s="167">
        <f t="shared" si="15"/>
        <v>1.3545965569224145E-2</v>
      </c>
      <c r="E39" s="167">
        <f t="shared" si="15"/>
        <v>1.4012947378887381E-2</v>
      </c>
      <c r="F39" s="167">
        <f t="shared" si="15"/>
        <v>5.5008337291707699E-3</v>
      </c>
      <c r="G39" s="167">
        <f t="shared" si="15"/>
        <v>1.5137198691912918E-4</v>
      </c>
      <c r="H39" s="167">
        <f t="shared" si="15"/>
        <v>0</v>
      </c>
      <c r="I39" s="167">
        <f t="shared" si="15"/>
        <v>0</v>
      </c>
      <c r="J39" s="167">
        <f t="shared" si="15"/>
        <v>0</v>
      </c>
      <c r="K39" s="168">
        <v>0.05</v>
      </c>
      <c r="L39" s="168">
        <v>0.05</v>
      </c>
      <c r="M39" s="168">
        <v>0.05</v>
      </c>
      <c r="N39" s="168">
        <v>0.05</v>
      </c>
      <c r="O39" s="168">
        <v>0</v>
      </c>
      <c r="P39" s="168">
        <v>0</v>
      </c>
      <c r="Q39" s="168">
        <v>0</v>
      </c>
      <c r="R39" s="168">
        <v>0</v>
      </c>
      <c r="S39" s="22">
        <f t="shared" ref="S39:S41" ca="1" si="16">SUMPRODUCT(K39:R39,C10:J10)</f>
        <v>4.905198248040573E-2</v>
      </c>
    </row>
    <row r="40" spans="1:19" ht="13.2">
      <c r="A40" s="20" t="s">
        <v>9</v>
      </c>
      <c r="B40" s="20" t="s">
        <v>307</v>
      </c>
      <c r="C40" s="167">
        <f t="shared" ref="C40:J40" si="17">SUMIFS(M$5:M$16,$K$5:$K$16,$A40,$L$5:$L$16,$B40)*(1+K40)</f>
        <v>0</v>
      </c>
      <c r="D40" s="167">
        <f t="shared" si="17"/>
        <v>4.9810500346475981E-5</v>
      </c>
      <c r="E40" s="167">
        <f t="shared" si="17"/>
        <v>2.146785922507808E-5</v>
      </c>
      <c r="F40" s="167">
        <f t="shared" si="17"/>
        <v>3.2940702124477638E-5</v>
      </c>
      <c r="G40" s="167">
        <f t="shared" si="17"/>
        <v>3.5427486300221722E-5</v>
      </c>
      <c r="H40" s="167">
        <f t="shared" si="17"/>
        <v>8.8720153918751921E-5</v>
      </c>
      <c r="I40" s="167">
        <f t="shared" si="17"/>
        <v>0</v>
      </c>
      <c r="J40" s="167">
        <f t="shared" si="17"/>
        <v>0</v>
      </c>
      <c r="K40" s="168">
        <v>0</v>
      </c>
      <c r="L40" s="168">
        <v>0</v>
      </c>
      <c r="M40" s="168">
        <v>0</v>
      </c>
      <c r="N40" s="168">
        <v>0</v>
      </c>
      <c r="O40" s="168">
        <v>0</v>
      </c>
      <c r="P40" s="168">
        <v>0</v>
      </c>
      <c r="Q40" s="168">
        <v>0</v>
      </c>
      <c r="R40" s="168">
        <v>0</v>
      </c>
      <c r="S40" s="22">
        <f t="shared" ca="1" si="16"/>
        <v>0</v>
      </c>
    </row>
    <row r="41" spans="1:19" ht="13.2">
      <c r="A41" s="20" t="s">
        <v>9</v>
      </c>
      <c r="B41" s="20" t="s">
        <v>308</v>
      </c>
      <c r="C41" s="167">
        <f t="shared" ref="C41:J41" si="18">SUMIFS(M$5:M$16,$K$5:$K$16,$A41,$L$5:$L$16,$B41)*(1+K41)</f>
        <v>0.2634731880246986</v>
      </c>
      <c r="D41" s="167">
        <f t="shared" si="18"/>
        <v>9.0262340185207166E-2</v>
      </c>
      <c r="E41" s="167">
        <f t="shared" si="18"/>
        <v>8.9758249307379089E-3</v>
      </c>
      <c r="F41" s="167">
        <f t="shared" si="18"/>
        <v>2.7472545571814353E-4</v>
      </c>
      <c r="G41" s="167">
        <f t="shared" si="18"/>
        <v>0</v>
      </c>
      <c r="H41" s="167">
        <f t="shared" si="18"/>
        <v>0</v>
      </c>
      <c r="I41" s="167">
        <f t="shared" si="18"/>
        <v>0</v>
      </c>
      <c r="J41" s="167">
        <f t="shared" si="18"/>
        <v>0</v>
      </c>
      <c r="K41" s="168">
        <v>0.05</v>
      </c>
      <c r="L41" s="168">
        <v>0.05</v>
      </c>
      <c r="M41" s="168">
        <v>0</v>
      </c>
      <c r="N41" s="168">
        <v>0</v>
      </c>
      <c r="O41" s="168">
        <v>0</v>
      </c>
      <c r="P41" s="168">
        <v>0</v>
      </c>
      <c r="Q41" s="168">
        <v>0</v>
      </c>
      <c r="R41" s="168">
        <v>0</v>
      </c>
      <c r="S41" s="22">
        <f t="shared" ca="1" si="16"/>
        <v>4.4524342803253569E-2</v>
      </c>
    </row>
    <row r="42" spans="1:19" ht="13.2">
      <c r="A42" s="20" t="s">
        <v>10</v>
      </c>
      <c r="B42" s="20" t="s">
        <v>302</v>
      </c>
      <c r="C42" s="167">
        <f t="shared" ref="C42:J42" si="19">1-SUM(C43:C45)</f>
        <v>0.58191482897887703</v>
      </c>
      <c r="D42" s="167">
        <f t="shared" si="19"/>
        <v>0.82960124531278978</v>
      </c>
      <c r="E42" s="167">
        <f t="shared" si="19"/>
        <v>0.96782542041078434</v>
      </c>
      <c r="F42" s="167">
        <f t="shared" si="19"/>
        <v>0.98469972017585539</v>
      </c>
      <c r="G42" s="167">
        <f t="shared" si="19"/>
        <v>0.991247720685832</v>
      </c>
      <c r="H42" s="167">
        <f t="shared" si="19"/>
        <v>0.99153597550770534</v>
      </c>
      <c r="I42" s="167">
        <f t="shared" si="19"/>
        <v>0.9990676142511199</v>
      </c>
      <c r="J42" s="167">
        <f t="shared" si="19"/>
        <v>1</v>
      </c>
      <c r="K42" s="116"/>
      <c r="L42" s="116"/>
      <c r="M42" s="116"/>
      <c r="N42" s="116"/>
      <c r="O42" s="116"/>
      <c r="P42" s="116"/>
      <c r="Q42" s="116"/>
      <c r="R42" s="116"/>
      <c r="S42" s="22"/>
    </row>
    <row r="43" spans="1:19" ht="13.2">
      <c r="A43" s="20" t="s">
        <v>10</v>
      </c>
      <c r="B43" s="20" t="s">
        <v>304</v>
      </c>
      <c r="C43" s="167">
        <f t="shared" ref="C43:J43" si="20">SUMIFS(M$5:M$16,$K$5:$K$16,$A43,$L$5:$L$16,$B43)*(1+K43)</f>
        <v>2.9407055291468605E-3</v>
      </c>
      <c r="D43" s="167">
        <f t="shared" si="20"/>
        <v>6.9567000782642325E-3</v>
      </c>
      <c r="E43" s="167">
        <f t="shared" si="20"/>
        <v>1.3593101661385922E-2</v>
      </c>
      <c r="F43" s="167">
        <f t="shared" si="20"/>
        <v>8.0262901200885972E-3</v>
      </c>
      <c r="G43" s="167">
        <f t="shared" si="20"/>
        <v>4.3970068985771366E-4</v>
      </c>
      <c r="H43" s="167">
        <f t="shared" si="20"/>
        <v>0</v>
      </c>
      <c r="I43" s="167">
        <f t="shared" si="20"/>
        <v>0</v>
      </c>
      <c r="J43" s="167">
        <f t="shared" si="20"/>
        <v>0</v>
      </c>
      <c r="K43" s="168">
        <v>0.05</v>
      </c>
      <c r="L43" s="168">
        <v>0.05</v>
      </c>
      <c r="M43" s="168">
        <v>0.05</v>
      </c>
      <c r="N43" s="168">
        <v>0.05</v>
      </c>
      <c r="O43" s="168">
        <v>0</v>
      </c>
      <c r="P43" s="168">
        <v>0</v>
      </c>
      <c r="Q43" s="168">
        <v>0</v>
      </c>
      <c r="R43" s="168">
        <v>0</v>
      </c>
      <c r="S43" s="22">
        <f t="shared" ref="S43:S45" ca="1" si="21">SUMPRODUCT(K43:R43,C14:J14)</f>
        <v>4.7522214832257798E-2</v>
      </c>
    </row>
    <row r="44" spans="1:19" ht="13.2">
      <c r="A44" s="20" t="s">
        <v>10</v>
      </c>
      <c r="B44" s="20" t="s">
        <v>307</v>
      </c>
      <c r="C44" s="167">
        <f t="shared" ref="C44:J44" si="22">SUMIFS(M$5:M$16,$K$5:$K$16,$A44,$L$5:$L$16,$B44)*(1+K44)</f>
        <v>1.0986811537224345E-3</v>
      </c>
      <c r="D44" s="167">
        <f t="shared" si="22"/>
        <v>5.1874412625372074E-3</v>
      </c>
      <c r="E44" s="167">
        <f t="shared" si="22"/>
        <v>6.5307457891677686E-3</v>
      </c>
      <c r="F44" s="167">
        <f t="shared" si="22"/>
        <v>7.0545277670225016E-3</v>
      </c>
      <c r="G44" s="167">
        <f t="shared" si="22"/>
        <v>8.3125786243102469E-3</v>
      </c>
      <c r="H44" s="167">
        <f t="shared" si="22"/>
        <v>8.4640244922946761E-3</v>
      </c>
      <c r="I44" s="167">
        <f t="shared" si="22"/>
        <v>9.3238574888012825E-4</v>
      </c>
      <c r="J44" s="167">
        <f t="shared" si="22"/>
        <v>0</v>
      </c>
      <c r="K44" s="168">
        <v>0</v>
      </c>
      <c r="L44" s="168">
        <v>0</v>
      </c>
      <c r="M44" s="168">
        <v>0</v>
      </c>
      <c r="N44" s="168">
        <v>0</v>
      </c>
      <c r="O44" s="168">
        <v>0</v>
      </c>
      <c r="P44" s="168">
        <v>0</v>
      </c>
      <c r="Q44" s="168">
        <v>0</v>
      </c>
      <c r="R44" s="168">
        <v>0</v>
      </c>
      <c r="S44" s="22">
        <f t="shared" ca="1" si="21"/>
        <v>0</v>
      </c>
    </row>
    <row r="45" spans="1:19" ht="13.2">
      <c r="A45" s="20" t="s">
        <v>10</v>
      </c>
      <c r="B45" s="20" t="s">
        <v>308</v>
      </c>
      <c r="C45" s="167">
        <f t="shared" ref="C45:J45" si="23">SUMIFS(M$5:M$16,$K$5:$K$16,$A45,$L$5:$L$16,$B45)*(1+K45)</f>
        <v>0.41404578433825368</v>
      </c>
      <c r="D45" s="167">
        <f t="shared" si="23"/>
        <v>0.15825461334640881</v>
      </c>
      <c r="E45" s="167">
        <f t="shared" si="23"/>
        <v>1.2050732138661906E-2</v>
      </c>
      <c r="F45" s="167">
        <f t="shared" si="23"/>
        <v>2.19461937033553E-4</v>
      </c>
      <c r="G45" s="167">
        <f t="shared" si="23"/>
        <v>0</v>
      </c>
      <c r="H45" s="167">
        <f t="shared" si="23"/>
        <v>0</v>
      </c>
      <c r="I45" s="167">
        <f t="shared" si="23"/>
        <v>0</v>
      </c>
      <c r="J45" s="167">
        <f t="shared" si="23"/>
        <v>0</v>
      </c>
      <c r="K45" s="168">
        <v>0.05</v>
      </c>
      <c r="L45" s="168">
        <v>0.05</v>
      </c>
      <c r="M45" s="168">
        <v>0</v>
      </c>
      <c r="N45" s="168">
        <v>0</v>
      </c>
      <c r="O45" s="168">
        <v>0</v>
      </c>
      <c r="P45" s="168">
        <v>0</v>
      </c>
      <c r="Q45" s="168">
        <v>0</v>
      </c>
      <c r="R45" s="168">
        <v>0</v>
      </c>
      <c r="S45" s="22">
        <f t="shared" ca="1" si="21"/>
        <v>4.4805511379930656E-2</v>
      </c>
    </row>
    <row r="47" spans="1:19" ht="13.2">
      <c r="A47" s="123" t="s">
        <v>651</v>
      </c>
    </row>
    <row r="48" spans="1:19" ht="13.2">
      <c r="A48" s="45" t="s">
        <v>652</v>
      </c>
    </row>
    <row r="49" spans="1:10" ht="13.2">
      <c r="A49" s="140" t="s">
        <v>27</v>
      </c>
      <c r="B49" s="166" t="str">
        <f t="shared" ref="B49:I49" si="24">C$4</f>
        <v>0 to 1</v>
      </c>
      <c r="C49" s="166" t="str">
        <f t="shared" si="24"/>
        <v>1 to 2</v>
      </c>
      <c r="D49" s="166" t="str">
        <f t="shared" si="24"/>
        <v>2 to 4</v>
      </c>
      <c r="E49" s="166" t="str">
        <f t="shared" si="24"/>
        <v>4 to 8</v>
      </c>
      <c r="F49" s="166" t="str">
        <f t="shared" si="24"/>
        <v>8 to 16</v>
      </c>
      <c r="G49" s="166" t="str">
        <f t="shared" si="24"/>
        <v>16 to 32</v>
      </c>
      <c r="H49" s="166" t="str">
        <f t="shared" si="24"/>
        <v>32 to 64</v>
      </c>
      <c r="I49" s="166" t="str">
        <f t="shared" si="24"/>
        <v>Over 64</v>
      </c>
      <c r="J49" s="140" t="s">
        <v>32</v>
      </c>
    </row>
    <row r="50" spans="1:10" ht="13.2">
      <c r="A50" s="20" t="s">
        <v>5</v>
      </c>
      <c r="B50" s="25">
        <f t="shared" ref="B50:I50" ca="1" si="25">B27-(B27*SUMIFS(C$34:C$45,$A$34:$A$45,$A50,$B$34:$B$45,"auto")/SUMIFS(M$5:M$16,$K$5:$K$16,$A50,$L$5:$L$16,"auto"))</f>
        <v>0.31534213422733259</v>
      </c>
      <c r="C50" s="25">
        <f t="shared" ca="1" si="25"/>
        <v>0.30274974341978478</v>
      </c>
      <c r="D50" s="25">
        <f t="shared" ca="1" si="25"/>
        <v>4.3503962276801644E-2</v>
      </c>
      <c r="E50" s="25">
        <f t="shared" ca="1" si="25"/>
        <v>5.8007005896740793E-2</v>
      </c>
      <c r="F50" s="25">
        <f t="shared" ca="1" si="25"/>
        <v>0</v>
      </c>
      <c r="G50" s="25">
        <f t="shared" ca="1" si="25"/>
        <v>0</v>
      </c>
      <c r="H50" s="25">
        <f t="shared" ca="1" si="25"/>
        <v>0</v>
      </c>
      <c r="I50" s="25">
        <f t="shared" ca="1" si="25"/>
        <v>0</v>
      </c>
      <c r="J50" s="25">
        <f t="shared" ref="J50:J52" ca="1" si="26">SUM(B50:I50)</f>
        <v>0.71960284582065981</v>
      </c>
    </row>
    <row r="51" spans="1:10" ht="13.2">
      <c r="A51" s="20" t="s">
        <v>9</v>
      </c>
      <c r="B51" s="25">
        <f t="shared" ref="B51:I51" ca="1" si="27">B28-(B28*SUMIFS(C$34:C$45,$A$34:$A$45,$A51,$B$34:$B$45,"auto")/SUMIFS(M$5:M$16,$K$5:$K$16,$A51,$L$5:$L$16,"auto"))</f>
        <v>0.16902054454712001</v>
      </c>
      <c r="C51" s="25">
        <f t="shared" ca="1" si="27"/>
        <v>0.142523833915007</v>
      </c>
      <c r="D51" s="25">
        <f t="shared" ca="1" si="27"/>
        <v>4.9890944943612681E-2</v>
      </c>
      <c r="E51" s="25">
        <f t="shared" ca="1" si="27"/>
        <v>3.3588688497758312E-2</v>
      </c>
      <c r="F51" s="25">
        <f t="shared" ca="1" si="27"/>
        <v>0</v>
      </c>
      <c r="G51" s="25">
        <f t="shared" ca="1" si="27"/>
        <v>0</v>
      </c>
      <c r="H51" s="25">
        <f t="shared" ca="1" si="27"/>
        <v>0</v>
      </c>
      <c r="I51" s="25">
        <f t="shared" ca="1" si="27"/>
        <v>0</v>
      </c>
      <c r="J51" s="25">
        <f t="shared" ca="1" si="26"/>
        <v>0.39502401190349801</v>
      </c>
    </row>
    <row r="52" spans="1:10" ht="13.2">
      <c r="A52" s="20" t="s">
        <v>10</v>
      </c>
      <c r="B52" s="25">
        <f t="shared" ref="B52:I52" ca="1" si="28">B29-(B29*SUMIFS(C$34:C$45,$A$34:$A$45,$A52,$B$34:$B$45,"auto")/SUMIFS(M$5:M$16,$K$5:$K$16,$A52,$L$5:$L$16,"auto"))</f>
        <v>1.0275790644686751</v>
      </c>
      <c r="C52" s="25">
        <f t="shared" ca="1" si="28"/>
        <v>0.92590595479862259</v>
      </c>
      <c r="D52" s="25">
        <f t="shared" ca="1" si="28"/>
        <v>0.22789610445289554</v>
      </c>
      <c r="E52" s="25">
        <f t="shared" ca="1" si="28"/>
        <v>0.31264897385995027</v>
      </c>
      <c r="F52" s="25">
        <f t="shared" ca="1" si="28"/>
        <v>0</v>
      </c>
      <c r="G52" s="25">
        <f t="shared" ca="1" si="28"/>
        <v>0</v>
      </c>
      <c r="H52" s="25">
        <f t="shared" ca="1" si="28"/>
        <v>0</v>
      </c>
      <c r="I52" s="25">
        <f t="shared" ca="1" si="28"/>
        <v>0</v>
      </c>
      <c r="J52" s="25">
        <f t="shared" ca="1" si="26"/>
        <v>2.4940300975801435</v>
      </c>
    </row>
    <row r="54" spans="1:10" ht="13.2">
      <c r="A54" s="45" t="s">
        <v>653</v>
      </c>
    </row>
    <row r="55" spans="1:10" ht="13.2">
      <c r="A55" s="140" t="s">
        <v>27</v>
      </c>
    </row>
    <row r="56" spans="1:10" ht="13.2">
      <c r="A56" s="20" t="s">
        <v>5</v>
      </c>
      <c r="B56" s="25">
        <f ca="1">SUMIFS('Projections by County'!$D$49:$D$93,'Projections by County'!$A$49:$A$93,$A56,'Projections by County'!$B$49:$B$93,"Transportation",'Projections by County'!$C$49:$C$93,"Gasoline")/E20</f>
        <v>387.30094714387428</v>
      </c>
    </row>
    <row r="57" spans="1:10" ht="13.2">
      <c r="A57" s="20" t="s">
        <v>9</v>
      </c>
      <c r="B57" s="25">
        <f ca="1">SUMIFS('Projections by County'!$D$49:$D$93,'Projections by County'!$A$49:$A$93,$A57,'Projections by County'!$B$49:$B$93,"Transportation",'Projections by County'!$C$49:$C$93,"Gasoline")/E21</f>
        <v>387.30094725524333</v>
      </c>
    </row>
    <row r="58" spans="1:10" ht="13.2">
      <c r="A58" s="20" t="s">
        <v>10</v>
      </c>
      <c r="B58" s="25">
        <f ca="1">SUMIFS('Projections by County'!$D$49:$D$93,'Projections by County'!$A$49:$A$93,$A58,'Projections by County'!$B$49:$B$93,"Transportation",'Projections by County'!$C$49:$C$93,"Gasoline")/E22</f>
        <v>387.30094726194369</v>
      </c>
    </row>
    <row r="60" spans="1:10" s="277" customFormat="1" ht="31.2" customHeight="1">
      <c r="A60" s="276" t="s">
        <v>654</v>
      </c>
      <c r="D60" s="294" t="s">
        <v>570</v>
      </c>
      <c r="E60" s="295"/>
    </row>
    <row r="61" spans="1:10" ht="13.2">
      <c r="A61" s="140" t="s">
        <v>27</v>
      </c>
      <c r="D61" s="156" t="s">
        <v>655</v>
      </c>
      <c r="E61" s="156" t="s">
        <v>656</v>
      </c>
    </row>
    <row r="62" spans="1:10" ht="13.2">
      <c r="A62" s="20" t="s">
        <v>5</v>
      </c>
      <c r="B62" s="21">
        <f t="shared" ref="B62:B64" ca="1" si="29">J50*B56</f>
        <v>278.7028637537689</v>
      </c>
      <c r="C62" s="21"/>
      <c r="D62" s="21">
        <f t="shared" ref="D62:D64" ca="1" si="30">B62*6</f>
        <v>1672.2171825226133</v>
      </c>
      <c r="E62" s="21">
        <f t="shared" ref="E62:E64" ca="1" si="31">B62*26</f>
        <v>7246.2744575979914</v>
      </c>
    </row>
    <row r="63" spans="1:10" ht="13.2">
      <c r="A63" s="20" t="s">
        <v>9</v>
      </c>
      <c r="B63" s="21">
        <f t="shared" ca="1" si="29"/>
        <v>152.99317399879129</v>
      </c>
      <c r="C63" s="21"/>
      <c r="D63" s="21">
        <f t="shared" ca="1" si="30"/>
        <v>917.95904399274775</v>
      </c>
      <c r="E63" s="21">
        <f t="shared" ca="1" si="31"/>
        <v>3977.8225239685735</v>
      </c>
    </row>
    <row r="64" spans="1:10" ht="13.2">
      <c r="A64" s="20" t="s">
        <v>10</v>
      </c>
      <c r="B64" s="21">
        <f t="shared" ca="1" si="29"/>
        <v>965.94021929258747</v>
      </c>
      <c r="C64" s="21"/>
      <c r="D64" s="21">
        <f t="shared" ca="1" si="30"/>
        <v>5795.6413157555253</v>
      </c>
      <c r="E64" s="21">
        <f t="shared" ca="1" si="31"/>
        <v>25114.445701607274</v>
      </c>
    </row>
    <row r="65" spans="1:11" ht="13.2">
      <c r="A65" s="20" t="s">
        <v>32</v>
      </c>
      <c r="B65" s="21">
        <f ca="1">SUM(B62:B64)</f>
        <v>1397.6362570451477</v>
      </c>
      <c r="C65" s="21"/>
      <c r="D65" s="21">
        <f t="shared" ref="D65:E65" ca="1" si="32">SUM(D62:D64)</f>
        <v>8385.8175422708864</v>
      </c>
      <c r="E65" s="21">
        <f t="shared" ca="1" si="32"/>
        <v>36338.542683173837</v>
      </c>
    </row>
    <row r="67" spans="1:11" ht="13.2">
      <c r="A67" s="117">
        <v>0.25</v>
      </c>
      <c r="B67" s="20" t="s">
        <v>657</v>
      </c>
    </row>
    <row r="68" spans="1:11" ht="13.2">
      <c r="A68" s="20"/>
    </row>
    <row r="70" spans="1:11" ht="39.6">
      <c r="A70" s="140" t="s">
        <v>27</v>
      </c>
      <c r="B70" s="140" t="s">
        <v>643</v>
      </c>
      <c r="C70" s="169" t="s">
        <v>658</v>
      </c>
      <c r="D70" s="169" t="s">
        <v>659</v>
      </c>
      <c r="E70" s="166" t="s">
        <v>660</v>
      </c>
      <c r="F70" s="166" t="s">
        <v>661</v>
      </c>
      <c r="G70" s="166"/>
      <c r="H70" s="166"/>
      <c r="I70" s="166"/>
    </row>
    <row r="71" spans="1:11" ht="13.2">
      <c r="A71" s="20" t="s">
        <v>5</v>
      </c>
      <c r="B71" s="20" t="s">
        <v>304</v>
      </c>
      <c r="C71" s="170">
        <f t="shared" ref="C71:C73" ca="1" si="33">SUMIFS($S$34:$S$45,$A$34:$A$45,$A71,B$34:B$45,$B71)</f>
        <v>4.8003269500233536E-2</v>
      </c>
      <c r="D71" s="170">
        <f ca="1">C71/bike_elasticity</f>
        <v>0.19201307800093415</v>
      </c>
      <c r="E71" s="74">
        <v>150.62929890000001</v>
      </c>
      <c r="F71" s="74">
        <f t="shared" ref="F71:F73" ca="1" si="34">E71*D71</f>
        <v>28.922795318911724</v>
      </c>
    </row>
    <row r="72" spans="1:11" ht="13.2">
      <c r="A72" s="20" t="s">
        <v>9</v>
      </c>
      <c r="B72" s="20" t="s">
        <v>304</v>
      </c>
      <c r="C72" s="170">
        <f t="shared" ca="1" si="33"/>
        <v>4.905198248040573E-2</v>
      </c>
      <c r="D72" s="170">
        <f ca="1">C72/bike_elasticity</f>
        <v>0.19620792992162292</v>
      </c>
      <c r="E72" s="74">
        <v>124.1712816</v>
      </c>
      <c r="F72" s="74">
        <f t="shared" ca="1" si="34"/>
        <v>24.363390118450905</v>
      </c>
    </row>
    <row r="73" spans="1:11" ht="13.2">
      <c r="A73" s="20" t="s">
        <v>10</v>
      </c>
      <c r="B73" s="20" t="s">
        <v>304</v>
      </c>
      <c r="C73" s="170">
        <f t="shared" ca="1" si="33"/>
        <v>4.7522214832257798E-2</v>
      </c>
      <c r="D73" s="170">
        <f ca="1">C73/bike_elasticity</f>
        <v>0.19008885932903119</v>
      </c>
      <c r="E73" s="74">
        <v>231.32575729999999</v>
      </c>
      <c r="F73" s="74">
        <f t="shared" ca="1" si="34"/>
        <v>43.972449338581306</v>
      </c>
    </row>
    <row r="74" spans="1:11" ht="13.2">
      <c r="F74" s="74">
        <f ca="1">SUM(F71:F73)</f>
        <v>97.258634775943932</v>
      </c>
    </row>
    <row r="76" spans="1:11" s="233" customFormat="1" ht="13.2">
      <c r="A76" s="232" t="s">
        <v>504</v>
      </c>
      <c r="I76" s="260"/>
      <c r="J76" s="261"/>
      <c r="K76" s="261"/>
    </row>
    <row r="77" spans="1:11" ht="13.2">
      <c r="A77" s="20" t="s">
        <v>662</v>
      </c>
      <c r="C77" s="20">
        <f>'Project Reductions Details'!C3</f>
        <v>2050</v>
      </c>
    </row>
    <row r="78" spans="1:11" ht="13.2">
      <c r="A78" s="20" t="s">
        <v>663</v>
      </c>
      <c r="B78" s="20" t="s">
        <v>196</v>
      </c>
      <c r="C78" s="46">
        <f ca="1">SUMIFS(OFFSET('Clean Fleet Calcs'!$C$44:$C$67,0,MATCH(C$77,'Clean Fleet Calcs'!$C$43:$J$43)-1),'Clean Fleet Calcs'!$A$44:$A$67,"ldv_gas_"&amp;IF($A$78="light truck","lt",$A$78),'Clean Fleet Calcs'!$B$44:$B$67,$B78)*SUM($J$50:$J$52)*$A$79*1000000/1000</f>
        <v>68.991216209312839</v>
      </c>
    </row>
    <row r="79" spans="1:11" ht="13.2">
      <c r="A79" s="22">
        <f ca="1">B23</f>
        <v>7.6350850138312927E-3</v>
      </c>
      <c r="B79" s="20" t="s">
        <v>197</v>
      </c>
      <c r="C79" s="46">
        <f ca="1">SUMIFS(OFFSET('Clean Fleet Calcs'!$C$44:$C$67,0,MATCH(C$77,'Clean Fleet Calcs'!$C$43:$J$43)-1),'Clean Fleet Calcs'!$A$44:$A$67,"ldv_gas_"&amp;IF($A$78="light truck","lt",$A$78),'Clean Fleet Calcs'!$B$44:$B$67,$B79)*SUM($J$50:$J$52)*$A$79*1000000/1000</f>
        <v>329.19610673676914</v>
      </c>
    </row>
    <row r="80" spans="1:11" ht="13.2">
      <c r="A80" s="20"/>
      <c r="B80" s="20" t="s">
        <v>198</v>
      </c>
      <c r="C80" s="46">
        <f ca="1">SUMIFS(OFFSET('Clean Fleet Calcs'!$C$44:$C$67,0,MATCH(C$77,'Clean Fleet Calcs'!$C$43:$J$43)-1),'Clean Fleet Calcs'!$A$44:$A$67,"ldv_gas_"&amp;IF($A$78="light truck","lt",$A$78),'Clean Fleet Calcs'!$B$44:$B$67,$B80)*SUM($J$50:$J$52)*$A$79*1000000/1000</f>
        <v>17.220251649688706</v>
      </c>
    </row>
    <row r="81" spans="1:3" ht="13.2">
      <c r="A81" s="20"/>
      <c r="B81" s="20" t="s">
        <v>199</v>
      </c>
      <c r="C81" s="46">
        <f ca="1">SUMIFS(OFFSET('Clean Fleet Calcs'!$C$44:$C$67,0,MATCH(C$77,'Clean Fleet Calcs'!$C$43:$J$43)-1),'Clean Fleet Calcs'!$A$44:$A$67,"ldv_gas_"&amp;IF($A$78="light truck","lt",$A$78),'Clean Fleet Calcs'!$B$44:$B$67,$B81)*SUM($J$50:$J$52)*$A$79*1000000/1000</f>
        <v>0.57860045542954064</v>
      </c>
    </row>
    <row r="82" spans="1:3" ht="13.2">
      <c r="A82" s="20"/>
      <c r="B82" s="20" t="s">
        <v>200</v>
      </c>
      <c r="C82" s="46">
        <f ca="1">SUMIFS(OFFSET('Clean Fleet Calcs'!$C$44:$C$67,0,MATCH(C$77,'Clean Fleet Calcs'!$C$43:$J$43)-1),'Clean Fleet Calcs'!$A$44:$A$67,"ldv_gas_"&amp;IF($A$78="light truck","lt",$A$78),'Clean Fleet Calcs'!$B$44:$B$67,$B82)*SUM($J$50:$J$52)*$A$79*1000000/1000</f>
        <v>5.5104805279003861E-2</v>
      </c>
    </row>
    <row r="83" spans="1:3" ht="13.2">
      <c r="A83" s="20"/>
      <c r="B83" s="20" t="s">
        <v>201</v>
      </c>
      <c r="C83" s="46">
        <f ca="1">SUMIFS(OFFSET('Clean Fleet Calcs'!$C$44:$C$67,0,MATCH(C$77,'Clean Fleet Calcs'!$C$43:$J$43)-1),'Clean Fleet Calcs'!$A$44:$A$67,"ldv_gas_"&amp;IF($A$78="light truck","lt",$A$78),'Clean Fleet Calcs'!$B$44:$B$67,$B83)*SUM($J$50:$J$52)*$A$79*1000000/1000</f>
        <v>2.7552402639501931E-2</v>
      </c>
    </row>
    <row r="84" spans="1:3" ht="13.2">
      <c r="A84" s="20" t="s">
        <v>470</v>
      </c>
      <c r="B84" s="20" t="s">
        <v>196</v>
      </c>
      <c r="C84" s="46">
        <f ca="1">SUMIFS(OFFSET('Clean Fleet Calcs'!$C$44:$C$67,0,MATCH(C$77,'Clean Fleet Calcs'!$C$43:$J$43)-1),'Clean Fleet Calcs'!$A$44:$A$67,"ldv_gas_"&amp;IF($A$84="light truck","lt",$A$84),'Clean Fleet Calcs'!$B$44:$B$67,$B84)*SUM($J$50:$J$52)*$A$85*1000000/1000</f>
        <v>448.78423898329913</v>
      </c>
    </row>
    <row r="85" spans="1:3" ht="13.2">
      <c r="A85" s="116">
        <f ca="1">C23</f>
        <v>0.7821586863206702</v>
      </c>
      <c r="B85" s="20" t="s">
        <v>197</v>
      </c>
      <c r="C85" s="46">
        <f ca="1">SUMIFS(OFFSET('Clean Fleet Calcs'!$C$44:$C$67,0,MATCH(C$77,'Clean Fleet Calcs'!$C$43:$J$43)-1),'Clean Fleet Calcs'!$A$44:$A$67,"ldv_gas_"&amp;IF($A$84="light truck","lt",$A$84),'Clean Fleet Calcs'!$B$44:$B$67,$B85)*SUM($J$50:$J$52)*$A$85*1000000/1000</f>
        <v>7078.9362979252455</v>
      </c>
    </row>
    <row r="86" spans="1:3" ht="13.2">
      <c r="B86" s="20" t="s">
        <v>198</v>
      </c>
      <c r="C86" s="46">
        <f ca="1">SUMIFS(OFFSET('Clean Fleet Calcs'!$C$44:$C$67,0,MATCH(C$77,'Clean Fleet Calcs'!$C$43:$J$43)-1),'Clean Fleet Calcs'!$A$44:$A$67,"ldv_gas_"&amp;IF($A$84="light truck","lt",$A$84),'Clean Fleet Calcs'!$B$44:$B$67,$B86)*SUM($J$50:$J$52)*$A$85*1000000/1000</f>
        <v>152.41728871130914</v>
      </c>
    </row>
    <row r="87" spans="1:3" ht="13.2">
      <c r="B87" s="20" t="s">
        <v>199</v>
      </c>
      <c r="C87" s="46">
        <f ca="1">SUMIFS(OFFSET('Clean Fleet Calcs'!$C$44:$C$67,0,MATCH(C$77,'Clean Fleet Calcs'!$C$43:$J$43)-1),'Clean Fleet Calcs'!$A$44:$A$67,"ldv_gas_"&amp;IF($A$84="light truck","lt",$A$84),'Clean Fleet Calcs'!$B$44:$B$67,$B87)*SUM($J$50:$J$52)*$A$85*1000000/1000</f>
        <v>11.290169534171048</v>
      </c>
    </row>
    <row r="88" spans="1:3" ht="13.2">
      <c r="B88" s="20" t="s">
        <v>200</v>
      </c>
      <c r="C88" s="46">
        <f ca="1">SUMIFS(OFFSET('Clean Fleet Calcs'!$C$44:$C$67,0,MATCH(C$77,'Clean Fleet Calcs'!$C$43:$J$43)-1),'Clean Fleet Calcs'!$A$44:$A$67,"ldv_gas_"&amp;IF($A$84="light truck","lt",$A$84),'Clean Fleet Calcs'!$B$44:$B$67,$B88)*SUM($J$50:$J$52)*$A$85*1000000/1000</f>
        <v>8.467627150628287</v>
      </c>
    </row>
    <row r="89" spans="1:3" ht="13.2">
      <c r="B89" s="20" t="s">
        <v>201</v>
      </c>
      <c r="C89" s="46">
        <f ca="1">SUMIFS(OFFSET('Clean Fleet Calcs'!$C$44:$C$67,0,MATCH(C$77,'Clean Fleet Calcs'!$C$43:$J$43)-1),'Clean Fleet Calcs'!$A$44:$A$67,"ldv_gas_"&amp;IF($A$84="light truck","lt",$A$84),'Clean Fleet Calcs'!$B$44:$B$67,$B89)*SUM($J$50:$J$52)*$A$85*1000000/1000</f>
        <v>2.8225423835427619</v>
      </c>
    </row>
    <row r="90" spans="1:3" ht="13.2">
      <c r="A90" s="20" t="s">
        <v>471</v>
      </c>
      <c r="B90" s="20" t="s">
        <v>196</v>
      </c>
      <c r="C90" s="46">
        <f ca="1">SUMIFS(OFFSET('Clean Fleet Calcs'!$C$44:$C$67,0,MATCH(C$77,'Clean Fleet Calcs'!$C$43:$J$43)-1),'Clean Fleet Calcs'!$A$44:$A$67,"ldv_gas_"&amp;IF($A$90="light truck","lt",$A$90),'Clean Fleet Calcs'!$B$44:$B$67,$B90)*SUM($J$50:$J$52)*$A$91*1000000/1000</f>
        <v>132.74837959635659</v>
      </c>
    </row>
    <row r="91" spans="1:3" ht="13.2">
      <c r="A91" s="116">
        <f ca="1">D23</f>
        <v>0.21020622866549857</v>
      </c>
      <c r="B91" s="20" t="s">
        <v>197</v>
      </c>
      <c r="C91" s="46">
        <f ca="1">SUMIFS(OFFSET('Clean Fleet Calcs'!$C$44:$C$67,0,MATCH(C$77,'Clean Fleet Calcs'!$C$43:$J$43)-1),'Clean Fleet Calcs'!$A$44:$A$67,"ldv_gas_"&amp;IF($A$90="light truck","lt",$A$90),'Clean Fleet Calcs'!$B$44:$B$67,$B91)*SUM($J$50:$J$52)*$A$91*1000000/1000</f>
        <v>2186.9347335788352</v>
      </c>
    </row>
    <row r="92" spans="1:3" ht="13.2">
      <c r="B92" s="20" t="s">
        <v>198</v>
      </c>
      <c r="C92" s="46">
        <f ca="1">SUMIFS(OFFSET('Clean Fleet Calcs'!$C$44:$C$67,0,MATCH(C$77,'Clean Fleet Calcs'!$C$43:$J$43)-1),'Clean Fleet Calcs'!$A$44:$A$67,"ldv_gas_"&amp;IF($A$90="light truck","lt",$A$90),'Clean Fleet Calcs'!$B$44:$B$67,$B92)*SUM($J$50:$J$52)*$A$91*1000000/1000</f>
        <v>67.512033051861366</v>
      </c>
    </row>
    <row r="93" spans="1:3" ht="13.2">
      <c r="B93" s="20" t="s">
        <v>199</v>
      </c>
      <c r="C93" s="46">
        <f ca="1">SUMIFS(OFFSET('Clean Fleet Calcs'!$C$44:$C$67,0,MATCH(C$77,'Clean Fleet Calcs'!$C$43:$J$43)-1),'Clean Fleet Calcs'!$A$44:$A$67,"ldv_gas_"&amp;IF($A$90="light truck","lt",$A$90),'Clean Fleet Calcs'!$B$44:$B$67,$B93)*SUM($J$50:$J$52)*$A$91*1000000/1000</f>
        <v>3.7928108456101888</v>
      </c>
    </row>
    <row r="94" spans="1:3" ht="13.2">
      <c r="B94" s="20" t="s">
        <v>200</v>
      </c>
      <c r="C94" s="46">
        <f ca="1">SUMIFS(OFFSET('Clean Fleet Calcs'!$C$44:$C$67,0,MATCH(C$77,'Clean Fleet Calcs'!$C$43:$J$43)-1),'Clean Fleet Calcs'!$A$44:$A$67,"ldv_gas_"&amp;IF($A$90="light truck","lt",$A$90),'Clean Fleet Calcs'!$B$44:$B$67,$B94)*SUM($J$50:$J$52)*$A$91*1000000/1000</f>
        <v>2.2756865073661134</v>
      </c>
    </row>
    <row r="95" spans="1:3" ht="13.2">
      <c r="B95" s="20" t="s">
        <v>201</v>
      </c>
      <c r="C95" s="46">
        <f ca="1">SUMIFS(OFFSET('Clean Fleet Calcs'!$C$44:$C$67,0,MATCH(C$77,'Clean Fleet Calcs'!$C$43:$J$43)-1),'Clean Fleet Calcs'!$A$44:$A$67,"ldv_gas_"&amp;IF($A$90="light truck","lt",$A$90),'Clean Fleet Calcs'!$B$44:$B$67,$B95)*SUM($J$50:$J$52)*$A$91*1000000/1000</f>
        <v>0.75856216912203789</v>
      </c>
    </row>
    <row r="97" spans="2:3" ht="13.2">
      <c r="C97" s="20">
        <f>C77</f>
        <v>2050</v>
      </c>
    </row>
    <row r="98" spans="2:3" ht="13.2">
      <c r="B98" s="20" t="s">
        <v>505</v>
      </c>
      <c r="C98" s="46">
        <f t="shared" ref="C98:C101" ca="1" si="35">SUMIF($B$78:$B$95,"*"&amp;$B98&amp;"*",C$78:C$95)</f>
        <v>650.52383478896854</v>
      </c>
    </row>
    <row r="99" spans="2:3" ht="13.2">
      <c r="B99" s="20" t="s">
        <v>506</v>
      </c>
      <c r="C99" s="46">
        <f t="shared" ca="1" si="35"/>
        <v>9595.0671382408509</v>
      </c>
    </row>
    <row r="100" spans="2:3" ht="13.2">
      <c r="B100" s="20" t="s">
        <v>507</v>
      </c>
      <c r="C100" s="46">
        <f t="shared" ca="1" si="35"/>
        <v>237.14957341285918</v>
      </c>
    </row>
    <row r="101" spans="2:3" ht="13.2">
      <c r="B101" s="20" t="s">
        <v>508</v>
      </c>
      <c r="C101" s="46">
        <f t="shared" ca="1" si="35"/>
        <v>30.068656253788479</v>
      </c>
    </row>
  </sheetData>
  <mergeCells count="1">
    <mergeCell ref="D60:E60"/>
  </mergeCell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F0"/>
    <outlinePr summaryBelow="0" summaryRight="0"/>
  </sheetPr>
  <dimension ref="A1:AC68"/>
  <sheetViews>
    <sheetView workbookViewId="0">
      <pane xSplit="1" ySplit="2" topLeftCell="B3" activePane="bottomRight" state="frozen"/>
      <selection activeCell="B2" sqref="B2:H2"/>
      <selection pane="topRight" activeCell="B2" sqref="B2:H2"/>
      <selection pane="bottomLeft" activeCell="B2" sqref="B2:H2"/>
      <selection pane="bottomRight" activeCell="B32" sqref="B32"/>
    </sheetView>
  </sheetViews>
  <sheetFormatPr defaultColWidth="12.5546875" defaultRowHeight="15.75" customHeight="1"/>
  <cols>
    <col min="1" max="1" width="23.6640625" customWidth="1"/>
  </cols>
  <sheetData>
    <row r="1" spans="1:29" s="249" customFormat="1" ht="24.6" customHeight="1">
      <c r="A1" s="249" t="s">
        <v>753</v>
      </c>
    </row>
    <row r="2" spans="1:29" ht="13.2">
      <c r="B2" s="20">
        <v>2024</v>
      </c>
      <c r="C2" s="20">
        <v>2025</v>
      </c>
      <c r="D2" s="20">
        <v>2026</v>
      </c>
      <c r="E2" s="20">
        <v>2027</v>
      </c>
      <c r="F2" s="20">
        <v>2028</v>
      </c>
      <c r="G2" s="20">
        <v>2029</v>
      </c>
      <c r="H2" s="20">
        <v>2030</v>
      </c>
      <c r="I2" s="20">
        <v>2031</v>
      </c>
      <c r="J2" s="20">
        <v>2032</v>
      </c>
      <c r="K2" s="20">
        <v>2033</v>
      </c>
      <c r="L2" s="20">
        <v>2034</v>
      </c>
      <c r="M2" s="20">
        <v>2035</v>
      </c>
      <c r="N2" s="20">
        <v>2036</v>
      </c>
      <c r="O2" s="20">
        <v>2037</v>
      </c>
      <c r="P2" s="20">
        <v>2038</v>
      </c>
      <c r="Q2" s="20">
        <v>2039</v>
      </c>
      <c r="R2" s="20">
        <v>2040</v>
      </c>
      <c r="S2" s="20">
        <v>2041</v>
      </c>
      <c r="T2" s="20">
        <v>2042</v>
      </c>
      <c r="U2" s="20">
        <v>2043</v>
      </c>
      <c r="V2" s="20">
        <v>2044</v>
      </c>
      <c r="W2" s="20">
        <v>2045</v>
      </c>
      <c r="X2" s="20">
        <v>2046</v>
      </c>
      <c r="Y2" s="20">
        <v>2047</v>
      </c>
      <c r="Z2" s="20">
        <v>2048</v>
      </c>
      <c r="AA2" s="20">
        <v>2049</v>
      </c>
      <c r="AB2" s="20">
        <v>2050</v>
      </c>
      <c r="AC2" s="20"/>
    </row>
    <row r="3" spans="1:29" ht="13.2">
      <c r="A3" s="20"/>
      <c r="B3" s="21"/>
      <c r="C3" s="21"/>
      <c r="D3" s="21"/>
      <c r="E3" s="21"/>
      <c r="F3" s="21"/>
      <c r="G3" s="171" t="s">
        <v>664</v>
      </c>
      <c r="H3" s="172" t="s">
        <v>665</v>
      </c>
      <c r="I3" s="172" t="s">
        <v>666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29" ht="13.2">
      <c r="A4" s="20"/>
      <c r="B4" s="21"/>
      <c r="C4" s="21"/>
      <c r="D4" s="21"/>
      <c r="E4" s="21"/>
      <c r="F4" s="21"/>
      <c r="G4" s="140" t="s">
        <v>667</v>
      </c>
      <c r="H4" s="125">
        <v>13477</v>
      </c>
      <c r="I4" s="125">
        <v>56668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</row>
    <row r="5" spans="1:29" ht="13.2">
      <c r="A5" s="20"/>
      <c r="B5" s="21"/>
      <c r="C5" s="21"/>
      <c r="D5" s="21"/>
      <c r="E5" s="21"/>
      <c r="F5" s="21"/>
      <c r="G5" s="140" t="s">
        <v>668</v>
      </c>
      <c r="H5" s="125">
        <v>368670.87</v>
      </c>
      <c r="I5" s="125">
        <v>1550173.82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</row>
    <row r="6" spans="1:29" ht="13.2">
      <c r="A6" s="20"/>
      <c r="B6" s="21"/>
      <c r="C6" s="21"/>
      <c r="D6" s="21"/>
      <c r="E6" s="21"/>
      <c r="F6" s="21"/>
      <c r="G6" s="140" t="s">
        <v>669</v>
      </c>
      <c r="H6" s="125">
        <v>29787.65</v>
      </c>
      <c r="I6" s="125">
        <v>125250.04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</row>
    <row r="7" spans="1:29" s="226" customFormat="1" ht="13.2">
      <c r="A7" s="224" t="s">
        <v>670</v>
      </c>
      <c r="B7" s="267"/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  <c r="AA7" s="267"/>
      <c r="AB7" s="267"/>
      <c r="AC7" s="267"/>
    </row>
    <row r="8" spans="1:29" ht="13.2">
      <c r="A8" s="20" t="s">
        <v>667</v>
      </c>
      <c r="B8" s="21">
        <f t="shared" ref="B8:H8" si="0">$H4/7</f>
        <v>1925.2857142857142</v>
      </c>
      <c r="C8" s="21">
        <f t="shared" si="0"/>
        <v>1925.2857142857142</v>
      </c>
      <c r="D8" s="21">
        <f t="shared" si="0"/>
        <v>1925.2857142857142</v>
      </c>
      <c r="E8" s="21">
        <f t="shared" si="0"/>
        <v>1925.2857142857142</v>
      </c>
      <c r="F8" s="21">
        <f t="shared" si="0"/>
        <v>1925.2857142857142</v>
      </c>
      <c r="G8" s="21">
        <f t="shared" si="0"/>
        <v>1925.2857142857142</v>
      </c>
      <c r="H8" s="21">
        <f t="shared" si="0"/>
        <v>1925.2857142857142</v>
      </c>
      <c r="I8" s="21">
        <f t="shared" ref="I8:AB8" si="1">($I4-$H4)/20</f>
        <v>2159.5500000000002</v>
      </c>
      <c r="J8" s="21">
        <f t="shared" si="1"/>
        <v>2159.5500000000002</v>
      </c>
      <c r="K8" s="21">
        <f t="shared" si="1"/>
        <v>2159.5500000000002</v>
      </c>
      <c r="L8" s="21">
        <f t="shared" si="1"/>
        <v>2159.5500000000002</v>
      </c>
      <c r="M8" s="21">
        <f t="shared" si="1"/>
        <v>2159.5500000000002</v>
      </c>
      <c r="N8" s="21">
        <f t="shared" si="1"/>
        <v>2159.5500000000002</v>
      </c>
      <c r="O8" s="21">
        <f t="shared" si="1"/>
        <v>2159.5500000000002</v>
      </c>
      <c r="P8" s="21">
        <f t="shared" si="1"/>
        <v>2159.5500000000002</v>
      </c>
      <c r="Q8" s="21">
        <f t="shared" si="1"/>
        <v>2159.5500000000002</v>
      </c>
      <c r="R8" s="21">
        <f t="shared" si="1"/>
        <v>2159.5500000000002</v>
      </c>
      <c r="S8" s="21">
        <f t="shared" si="1"/>
        <v>2159.5500000000002</v>
      </c>
      <c r="T8" s="21">
        <f t="shared" si="1"/>
        <v>2159.5500000000002</v>
      </c>
      <c r="U8" s="21">
        <f t="shared" si="1"/>
        <v>2159.5500000000002</v>
      </c>
      <c r="V8" s="21">
        <f t="shared" si="1"/>
        <v>2159.5500000000002</v>
      </c>
      <c r="W8" s="21">
        <f t="shared" si="1"/>
        <v>2159.5500000000002</v>
      </c>
      <c r="X8" s="21">
        <f t="shared" si="1"/>
        <v>2159.5500000000002</v>
      </c>
      <c r="Y8" s="21">
        <f t="shared" si="1"/>
        <v>2159.5500000000002</v>
      </c>
      <c r="Z8" s="21">
        <f t="shared" si="1"/>
        <v>2159.5500000000002</v>
      </c>
      <c r="AA8" s="21">
        <f t="shared" si="1"/>
        <v>2159.5500000000002</v>
      </c>
      <c r="AB8" s="21">
        <f t="shared" si="1"/>
        <v>2159.5500000000002</v>
      </c>
      <c r="AC8" s="125"/>
    </row>
    <row r="9" spans="1:29" ht="13.2">
      <c r="A9" s="20" t="s">
        <v>668</v>
      </c>
      <c r="B9" s="21">
        <f t="shared" ref="B9:H9" si="2">$H5/7</f>
        <v>52667.267142857141</v>
      </c>
      <c r="C9" s="21">
        <f t="shared" si="2"/>
        <v>52667.267142857141</v>
      </c>
      <c r="D9" s="21">
        <f t="shared" si="2"/>
        <v>52667.267142857141</v>
      </c>
      <c r="E9" s="21">
        <f t="shared" si="2"/>
        <v>52667.267142857141</v>
      </c>
      <c r="F9" s="21">
        <f t="shared" si="2"/>
        <v>52667.267142857141</v>
      </c>
      <c r="G9" s="21">
        <f t="shared" si="2"/>
        <v>52667.267142857141</v>
      </c>
      <c r="H9" s="21">
        <f t="shared" si="2"/>
        <v>52667.267142857141</v>
      </c>
      <c r="I9" s="21">
        <f t="shared" ref="I9:AB9" si="3">($I5-$H5)/20</f>
        <v>59075.147500000006</v>
      </c>
      <c r="J9" s="21">
        <f t="shared" si="3"/>
        <v>59075.147500000006</v>
      </c>
      <c r="K9" s="21">
        <f t="shared" si="3"/>
        <v>59075.147500000006</v>
      </c>
      <c r="L9" s="21">
        <f t="shared" si="3"/>
        <v>59075.147500000006</v>
      </c>
      <c r="M9" s="21">
        <f t="shared" si="3"/>
        <v>59075.147500000006</v>
      </c>
      <c r="N9" s="21">
        <f t="shared" si="3"/>
        <v>59075.147500000006</v>
      </c>
      <c r="O9" s="21">
        <f t="shared" si="3"/>
        <v>59075.147500000006</v>
      </c>
      <c r="P9" s="21">
        <f t="shared" si="3"/>
        <v>59075.147500000006</v>
      </c>
      <c r="Q9" s="21">
        <f t="shared" si="3"/>
        <v>59075.147500000006</v>
      </c>
      <c r="R9" s="21">
        <f t="shared" si="3"/>
        <v>59075.147500000006</v>
      </c>
      <c r="S9" s="21">
        <f t="shared" si="3"/>
        <v>59075.147500000006</v>
      </c>
      <c r="T9" s="21">
        <f t="shared" si="3"/>
        <v>59075.147500000006</v>
      </c>
      <c r="U9" s="21">
        <f t="shared" si="3"/>
        <v>59075.147500000006</v>
      </c>
      <c r="V9" s="21">
        <f t="shared" si="3"/>
        <v>59075.147500000006</v>
      </c>
      <c r="W9" s="21">
        <f t="shared" si="3"/>
        <v>59075.147500000006</v>
      </c>
      <c r="X9" s="21">
        <f t="shared" si="3"/>
        <v>59075.147500000006</v>
      </c>
      <c r="Y9" s="21">
        <f t="shared" si="3"/>
        <v>59075.147500000006</v>
      </c>
      <c r="Z9" s="21">
        <f t="shared" si="3"/>
        <v>59075.147500000006</v>
      </c>
      <c r="AA9" s="21">
        <f t="shared" si="3"/>
        <v>59075.147500000006</v>
      </c>
      <c r="AB9" s="21">
        <f t="shared" si="3"/>
        <v>59075.147500000006</v>
      </c>
      <c r="AC9" s="125"/>
    </row>
    <row r="10" spans="1:29" ht="13.2">
      <c r="A10" s="20" t="s">
        <v>669</v>
      </c>
      <c r="B10" s="21">
        <f t="shared" ref="B10:H10" si="4">$H6/7</f>
        <v>4255.3785714285714</v>
      </c>
      <c r="C10" s="21">
        <f t="shared" si="4"/>
        <v>4255.3785714285714</v>
      </c>
      <c r="D10" s="21">
        <f t="shared" si="4"/>
        <v>4255.3785714285714</v>
      </c>
      <c r="E10" s="21">
        <f t="shared" si="4"/>
        <v>4255.3785714285714</v>
      </c>
      <c r="F10" s="21">
        <f t="shared" si="4"/>
        <v>4255.3785714285714</v>
      </c>
      <c r="G10" s="21">
        <f t="shared" si="4"/>
        <v>4255.3785714285714</v>
      </c>
      <c r="H10" s="21">
        <f t="shared" si="4"/>
        <v>4255.3785714285714</v>
      </c>
      <c r="I10" s="21">
        <f t="shared" ref="I10:AB10" si="5">($I6-$H6)/20</f>
        <v>4773.1194999999989</v>
      </c>
      <c r="J10" s="21">
        <f t="shared" si="5"/>
        <v>4773.1194999999989</v>
      </c>
      <c r="K10" s="21">
        <f t="shared" si="5"/>
        <v>4773.1194999999989</v>
      </c>
      <c r="L10" s="21">
        <f t="shared" si="5"/>
        <v>4773.1194999999989</v>
      </c>
      <c r="M10" s="21">
        <f t="shared" si="5"/>
        <v>4773.1194999999989</v>
      </c>
      <c r="N10" s="21">
        <f t="shared" si="5"/>
        <v>4773.1194999999989</v>
      </c>
      <c r="O10" s="21">
        <f t="shared" si="5"/>
        <v>4773.1194999999989</v>
      </c>
      <c r="P10" s="21">
        <f t="shared" si="5"/>
        <v>4773.1194999999989</v>
      </c>
      <c r="Q10" s="21">
        <f t="shared" si="5"/>
        <v>4773.1194999999989</v>
      </c>
      <c r="R10" s="21">
        <f t="shared" si="5"/>
        <v>4773.1194999999989</v>
      </c>
      <c r="S10" s="21">
        <f t="shared" si="5"/>
        <v>4773.1194999999989</v>
      </c>
      <c r="T10" s="21">
        <f t="shared" si="5"/>
        <v>4773.1194999999989</v>
      </c>
      <c r="U10" s="21">
        <f t="shared" si="5"/>
        <v>4773.1194999999989</v>
      </c>
      <c r="V10" s="21">
        <f t="shared" si="5"/>
        <v>4773.1194999999989</v>
      </c>
      <c r="W10" s="21">
        <f t="shared" si="5"/>
        <v>4773.1194999999989</v>
      </c>
      <c r="X10" s="21">
        <f t="shared" si="5"/>
        <v>4773.1194999999989</v>
      </c>
      <c r="Y10" s="21">
        <f t="shared" si="5"/>
        <v>4773.1194999999989</v>
      </c>
      <c r="Z10" s="21">
        <f t="shared" si="5"/>
        <v>4773.1194999999989</v>
      </c>
      <c r="AA10" s="21">
        <f t="shared" si="5"/>
        <v>4773.1194999999989</v>
      </c>
      <c r="AB10" s="21">
        <f t="shared" si="5"/>
        <v>4773.1194999999989</v>
      </c>
      <c r="AC10" s="125"/>
    </row>
    <row r="12" spans="1:29" s="226" customFormat="1" ht="13.2">
      <c r="A12" s="224" t="s">
        <v>671</v>
      </c>
      <c r="B12" s="278">
        <v>0</v>
      </c>
      <c r="C12" s="267"/>
      <c r="D12" s="267"/>
      <c r="E12" s="267"/>
      <c r="F12" s="267"/>
      <c r="G12" s="267"/>
      <c r="H12" s="267"/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  <c r="T12" s="267"/>
      <c r="U12" s="267"/>
      <c r="V12" s="267"/>
      <c r="W12" s="267"/>
      <c r="X12" s="267"/>
      <c r="Y12" s="267"/>
      <c r="Z12" s="267"/>
      <c r="AA12" s="267"/>
      <c r="AB12" s="267"/>
      <c r="AC12" s="267"/>
    </row>
    <row r="13" spans="1:29" ht="13.2">
      <c r="A13" s="20" t="s">
        <v>672</v>
      </c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</row>
    <row r="14" spans="1:29" ht="13.2">
      <c r="A14" s="20" t="s">
        <v>667</v>
      </c>
      <c r="B14" s="21">
        <f t="shared" ref="B14:AB14" si="6">B8*(1-$B$12)</f>
        <v>1925.2857142857142</v>
      </c>
      <c r="C14" s="21">
        <f t="shared" si="6"/>
        <v>1925.2857142857142</v>
      </c>
      <c r="D14" s="21">
        <f t="shared" si="6"/>
        <v>1925.2857142857142</v>
      </c>
      <c r="E14" s="21">
        <f t="shared" si="6"/>
        <v>1925.2857142857142</v>
      </c>
      <c r="F14" s="21">
        <f t="shared" si="6"/>
        <v>1925.2857142857142</v>
      </c>
      <c r="G14" s="21">
        <f t="shared" si="6"/>
        <v>1925.2857142857142</v>
      </c>
      <c r="H14" s="21">
        <f t="shared" si="6"/>
        <v>1925.2857142857142</v>
      </c>
      <c r="I14" s="21">
        <f t="shared" si="6"/>
        <v>2159.5500000000002</v>
      </c>
      <c r="J14" s="21">
        <f t="shared" si="6"/>
        <v>2159.5500000000002</v>
      </c>
      <c r="K14" s="21">
        <f t="shared" si="6"/>
        <v>2159.5500000000002</v>
      </c>
      <c r="L14" s="21">
        <f t="shared" si="6"/>
        <v>2159.5500000000002</v>
      </c>
      <c r="M14" s="21">
        <f t="shared" si="6"/>
        <v>2159.5500000000002</v>
      </c>
      <c r="N14" s="21">
        <f t="shared" si="6"/>
        <v>2159.5500000000002</v>
      </c>
      <c r="O14" s="21">
        <f t="shared" si="6"/>
        <v>2159.5500000000002</v>
      </c>
      <c r="P14" s="21">
        <f t="shared" si="6"/>
        <v>2159.5500000000002</v>
      </c>
      <c r="Q14" s="21">
        <f t="shared" si="6"/>
        <v>2159.5500000000002</v>
      </c>
      <c r="R14" s="21">
        <f t="shared" si="6"/>
        <v>2159.5500000000002</v>
      </c>
      <c r="S14" s="21">
        <f t="shared" si="6"/>
        <v>2159.5500000000002</v>
      </c>
      <c r="T14" s="21">
        <f t="shared" si="6"/>
        <v>2159.5500000000002</v>
      </c>
      <c r="U14" s="21">
        <f t="shared" si="6"/>
        <v>2159.5500000000002</v>
      </c>
      <c r="V14" s="21">
        <f t="shared" si="6"/>
        <v>2159.5500000000002</v>
      </c>
      <c r="W14" s="21">
        <f t="shared" si="6"/>
        <v>2159.5500000000002</v>
      </c>
      <c r="X14" s="21">
        <f t="shared" si="6"/>
        <v>2159.5500000000002</v>
      </c>
      <c r="Y14" s="21">
        <f t="shared" si="6"/>
        <v>2159.5500000000002</v>
      </c>
      <c r="Z14" s="21">
        <f t="shared" si="6"/>
        <v>2159.5500000000002</v>
      </c>
      <c r="AA14" s="21">
        <f t="shared" si="6"/>
        <v>2159.5500000000002</v>
      </c>
      <c r="AB14" s="21">
        <f t="shared" si="6"/>
        <v>2159.5500000000002</v>
      </c>
      <c r="AC14" s="21"/>
    </row>
    <row r="15" spans="1:29" ht="13.2">
      <c r="A15" s="20" t="s">
        <v>668</v>
      </c>
      <c r="B15" s="21">
        <f t="shared" ref="B15:AB15" si="7">B9</f>
        <v>52667.267142857141</v>
      </c>
      <c r="C15" s="21">
        <f t="shared" si="7"/>
        <v>52667.267142857141</v>
      </c>
      <c r="D15" s="21">
        <f t="shared" si="7"/>
        <v>52667.267142857141</v>
      </c>
      <c r="E15" s="21">
        <f t="shared" si="7"/>
        <v>52667.267142857141</v>
      </c>
      <c r="F15" s="21">
        <f t="shared" si="7"/>
        <v>52667.267142857141</v>
      </c>
      <c r="G15" s="21">
        <f t="shared" si="7"/>
        <v>52667.267142857141</v>
      </c>
      <c r="H15" s="21">
        <f t="shared" si="7"/>
        <v>52667.267142857141</v>
      </c>
      <c r="I15" s="21">
        <f t="shared" si="7"/>
        <v>59075.147500000006</v>
      </c>
      <c r="J15" s="21">
        <f t="shared" si="7"/>
        <v>59075.147500000006</v>
      </c>
      <c r="K15" s="21">
        <f t="shared" si="7"/>
        <v>59075.147500000006</v>
      </c>
      <c r="L15" s="21">
        <f t="shared" si="7"/>
        <v>59075.147500000006</v>
      </c>
      <c r="M15" s="21">
        <f t="shared" si="7"/>
        <v>59075.147500000006</v>
      </c>
      <c r="N15" s="21">
        <f t="shared" si="7"/>
        <v>59075.147500000006</v>
      </c>
      <c r="O15" s="21">
        <f t="shared" si="7"/>
        <v>59075.147500000006</v>
      </c>
      <c r="P15" s="21">
        <f t="shared" si="7"/>
        <v>59075.147500000006</v>
      </c>
      <c r="Q15" s="21">
        <f t="shared" si="7"/>
        <v>59075.147500000006</v>
      </c>
      <c r="R15" s="21">
        <f t="shared" si="7"/>
        <v>59075.147500000006</v>
      </c>
      <c r="S15" s="21">
        <f t="shared" si="7"/>
        <v>59075.147500000006</v>
      </c>
      <c r="T15" s="21">
        <f t="shared" si="7"/>
        <v>59075.147500000006</v>
      </c>
      <c r="U15" s="21">
        <f t="shared" si="7"/>
        <v>59075.147500000006</v>
      </c>
      <c r="V15" s="21">
        <f t="shared" si="7"/>
        <v>59075.147500000006</v>
      </c>
      <c r="W15" s="21">
        <f t="shared" si="7"/>
        <v>59075.147500000006</v>
      </c>
      <c r="X15" s="21">
        <f t="shared" si="7"/>
        <v>59075.147500000006</v>
      </c>
      <c r="Y15" s="21">
        <f t="shared" si="7"/>
        <v>59075.147500000006</v>
      </c>
      <c r="Z15" s="21">
        <f t="shared" si="7"/>
        <v>59075.147500000006</v>
      </c>
      <c r="AA15" s="21">
        <f t="shared" si="7"/>
        <v>59075.147500000006</v>
      </c>
      <c r="AB15" s="21">
        <f t="shared" si="7"/>
        <v>59075.147500000006</v>
      </c>
      <c r="AC15" s="21"/>
    </row>
    <row r="16" spans="1:29" ht="13.2">
      <c r="A16" s="20" t="s">
        <v>669</v>
      </c>
      <c r="B16" s="21">
        <f t="shared" ref="B16:AB16" si="8">B10</f>
        <v>4255.3785714285714</v>
      </c>
      <c r="C16" s="21">
        <f t="shared" si="8"/>
        <v>4255.3785714285714</v>
      </c>
      <c r="D16" s="21">
        <f t="shared" si="8"/>
        <v>4255.3785714285714</v>
      </c>
      <c r="E16" s="21">
        <f t="shared" si="8"/>
        <v>4255.3785714285714</v>
      </c>
      <c r="F16" s="21">
        <f t="shared" si="8"/>
        <v>4255.3785714285714</v>
      </c>
      <c r="G16" s="21">
        <f t="shared" si="8"/>
        <v>4255.3785714285714</v>
      </c>
      <c r="H16" s="21">
        <f t="shared" si="8"/>
        <v>4255.3785714285714</v>
      </c>
      <c r="I16" s="21">
        <f t="shared" si="8"/>
        <v>4773.1194999999989</v>
      </c>
      <c r="J16" s="21">
        <f t="shared" si="8"/>
        <v>4773.1194999999989</v>
      </c>
      <c r="K16" s="21">
        <f t="shared" si="8"/>
        <v>4773.1194999999989</v>
      </c>
      <c r="L16" s="21">
        <f t="shared" si="8"/>
        <v>4773.1194999999989</v>
      </c>
      <c r="M16" s="21">
        <f t="shared" si="8"/>
        <v>4773.1194999999989</v>
      </c>
      <c r="N16" s="21">
        <f t="shared" si="8"/>
        <v>4773.1194999999989</v>
      </c>
      <c r="O16" s="21">
        <f t="shared" si="8"/>
        <v>4773.1194999999989</v>
      </c>
      <c r="P16" s="21">
        <f t="shared" si="8"/>
        <v>4773.1194999999989</v>
      </c>
      <c r="Q16" s="21">
        <f t="shared" si="8"/>
        <v>4773.1194999999989</v>
      </c>
      <c r="R16" s="21">
        <f t="shared" si="8"/>
        <v>4773.1194999999989</v>
      </c>
      <c r="S16" s="21">
        <f t="shared" si="8"/>
        <v>4773.1194999999989</v>
      </c>
      <c r="T16" s="21">
        <f t="shared" si="8"/>
        <v>4773.1194999999989</v>
      </c>
      <c r="U16" s="21">
        <f t="shared" si="8"/>
        <v>4773.1194999999989</v>
      </c>
      <c r="V16" s="21">
        <f t="shared" si="8"/>
        <v>4773.1194999999989</v>
      </c>
      <c r="W16" s="21">
        <f t="shared" si="8"/>
        <v>4773.1194999999989</v>
      </c>
      <c r="X16" s="21">
        <f t="shared" si="8"/>
        <v>4773.1194999999989</v>
      </c>
      <c r="Y16" s="21">
        <f t="shared" si="8"/>
        <v>4773.1194999999989</v>
      </c>
      <c r="Z16" s="21">
        <f t="shared" si="8"/>
        <v>4773.1194999999989</v>
      </c>
      <c r="AA16" s="21">
        <f t="shared" si="8"/>
        <v>4773.1194999999989</v>
      </c>
      <c r="AB16" s="21">
        <f t="shared" si="8"/>
        <v>4773.1194999999989</v>
      </c>
      <c r="AC16" s="21"/>
    </row>
    <row r="19" spans="1:29" s="226" customFormat="1" ht="13.2">
      <c r="A19" s="224" t="s">
        <v>673</v>
      </c>
    </row>
    <row r="20" spans="1:29" ht="13.2">
      <c r="A20" s="20" t="s">
        <v>667</v>
      </c>
      <c r="B20" s="21">
        <f t="shared" ref="B20:AB20" si="9">B8*VLOOKUP($A20,$A$39:$B$41,2,FALSE)</f>
        <v>966.49342857142858</v>
      </c>
      <c r="C20" s="21">
        <f t="shared" si="9"/>
        <v>966.49342857142858</v>
      </c>
      <c r="D20" s="21">
        <f t="shared" si="9"/>
        <v>966.49342857142858</v>
      </c>
      <c r="E20" s="21">
        <f t="shared" si="9"/>
        <v>966.49342857142858</v>
      </c>
      <c r="F20" s="21">
        <f t="shared" si="9"/>
        <v>966.49342857142858</v>
      </c>
      <c r="G20" s="21">
        <f t="shared" si="9"/>
        <v>966.49342857142858</v>
      </c>
      <c r="H20" s="21">
        <f t="shared" si="9"/>
        <v>966.49342857142858</v>
      </c>
      <c r="I20" s="21">
        <f t="shared" si="9"/>
        <v>1084.0941</v>
      </c>
      <c r="J20" s="21">
        <f t="shared" si="9"/>
        <v>1084.0941</v>
      </c>
      <c r="K20" s="21">
        <f t="shared" si="9"/>
        <v>1084.0941</v>
      </c>
      <c r="L20" s="21">
        <f t="shared" si="9"/>
        <v>1084.0941</v>
      </c>
      <c r="M20" s="21">
        <f t="shared" si="9"/>
        <v>1084.0941</v>
      </c>
      <c r="N20" s="21">
        <f t="shared" si="9"/>
        <v>1084.0941</v>
      </c>
      <c r="O20" s="21">
        <f t="shared" si="9"/>
        <v>1084.0941</v>
      </c>
      <c r="P20" s="21">
        <f t="shared" si="9"/>
        <v>1084.0941</v>
      </c>
      <c r="Q20" s="21">
        <f t="shared" si="9"/>
        <v>1084.0941</v>
      </c>
      <c r="R20" s="21">
        <f t="shared" si="9"/>
        <v>1084.0941</v>
      </c>
      <c r="S20" s="21">
        <f t="shared" si="9"/>
        <v>1084.0941</v>
      </c>
      <c r="T20" s="21">
        <f t="shared" si="9"/>
        <v>1084.0941</v>
      </c>
      <c r="U20" s="21">
        <f t="shared" si="9"/>
        <v>1084.0941</v>
      </c>
      <c r="V20" s="21">
        <f t="shared" si="9"/>
        <v>1084.0941</v>
      </c>
      <c r="W20" s="21">
        <f t="shared" si="9"/>
        <v>1084.0941</v>
      </c>
      <c r="X20" s="21">
        <f t="shared" si="9"/>
        <v>1084.0941</v>
      </c>
      <c r="Y20" s="21">
        <f t="shared" si="9"/>
        <v>1084.0941</v>
      </c>
      <c r="Z20" s="21">
        <f t="shared" si="9"/>
        <v>1084.0941</v>
      </c>
      <c r="AA20" s="21">
        <f t="shared" si="9"/>
        <v>1084.0941</v>
      </c>
      <c r="AB20" s="21">
        <f t="shared" si="9"/>
        <v>1084.0941</v>
      </c>
      <c r="AC20" s="21"/>
    </row>
    <row r="21" spans="1:29" ht="13.2">
      <c r="A21" s="20" t="s">
        <v>668</v>
      </c>
      <c r="B21" s="21">
        <f t="shared" ref="B21:AB21" si="10">B9*VLOOKUP($A21,$A$39:$B$41,2,FALSE)</f>
        <v>-10560.840407485714</v>
      </c>
      <c r="C21" s="21">
        <f t="shared" si="10"/>
        <v>-10560.840407485714</v>
      </c>
      <c r="D21" s="21">
        <f t="shared" si="10"/>
        <v>-10560.840407485714</v>
      </c>
      <c r="E21" s="21">
        <f t="shared" si="10"/>
        <v>-10560.840407485714</v>
      </c>
      <c r="F21" s="21">
        <f t="shared" si="10"/>
        <v>-10560.840407485714</v>
      </c>
      <c r="G21" s="21">
        <f t="shared" si="10"/>
        <v>-10560.840407485714</v>
      </c>
      <c r="H21" s="21">
        <f t="shared" si="10"/>
        <v>-10560.840407485714</v>
      </c>
      <c r="I21" s="21">
        <f t="shared" si="10"/>
        <v>-11845.748576700002</v>
      </c>
      <c r="J21" s="21">
        <f t="shared" si="10"/>
        <v>-11845.748576700002</v>
      </c>
      <c r="K21" s="21">
        <f t="shared" si="10"/>
        <v>-11845.748576700002</v>
      </c>
      <c r="L21" s="21">
        <f t="shared" si="10"/>
        <v>-11845.748576700002</v>
      </c>
      <c r="M21" s="21">
        <f t="shared" si="10"/>
        <v>-11845.748576700002</v>
      </c>
      <c r="N21" s="21">
        <f t="shared" si="10"/>
        <v>-11845.748576700002</v>
      </c>
      <c r="O21" s="21">
        <f t="shared" si="10"/>
        <v>-11845.748576700002</v>
      </c>
      <c r="P21" s="21">
        <f t="shared" si="10"/>
        <v>-11845.748576700002</v>
      </c>
      <c r="Q21" s="21">
        <f t="shared" si="10"/>
        <v>-11845.748576700002</v>
      </c>
      <c r="R21" s="21">
        <f t="shared" si="10"/>
        <v>-11845.748576700002</v>
      </c>
      <c r="S21" s="21">
        <f t="shared" si="10"/>
        <v>-11845.748576700002</v>
      </c>
      <c r="T21" s="21">
        <f t="shared" si="10"/>
        <v>-11845.748576700002</v>
      </c>
      <c r="U21" s="21">
        <f t="shared" si="10"/>
        <v>-11845.748576700002</v>
      </c>
      <c r="V21" s="21">
        <f t="shared" si="10"/>
        <v>-11845.748576700002</v>
      </c>
      <c r="W21" s="21">
        <f t="shared" si="10"/>
        <v>-11845.748576700002</v>
      </c>
      <c r="X21" s="21">
        <f t="shared" si="10"/>
        <v>-11845.748576700002</v>
      </c>
      <c r="Y21" s="21">
        <f t="shared" si="10"/>
        <v>-11845.748576700002</v>
      </c>
      <c r="Z21" s="21">
        <f t="shared" si="10"/>
        <v>-11845.748576700002</v>
      </c>
      <c r="AA21" s="21">
        <f t="shared" si="10"/>
        <v>-11845.748576700002</v>
      </c>
      <c r="AB21" s="21">
        <f t="shared" si="10"/>
        <v>-11845.748576700002</v>
      </c>
      <c r="AC21" s="21"/>
    </row>
    <row r="22" spans="1:29" ht="13.2">
      <c r="A22" s="20" t="s">
        <v>669</v>
      </c>
      <c r="B22" s="21">
        <f t="shared" ref="B22:AB22" si="11">B10*VLOOKUP($A22,$A$39:$B$41,2,FALSE)</f>
        <v>-2281.1382370000001</v>
      </c>
      <c r="C22" s="21">
        <f t="shared" si="11"/>
        <v>-2281.1382370000001</v>
      </c>
      <c r="D22" s="21">
        <f t="shared" si="11"/>
        <v>-2281.1382370000001</v>
      </c>
      <c r="E22" s="21">
        <f t="shared" si="11"/>
        <v>-2281.1382370000001</v>
      </c>
      <c r="F22" s="21">
        <f t="shared" si="11"/>
        <v>-2281.1382370000001</v>
      </c>
      <c r="G22" s="21">
        <f t="shared" si="11"/>
        <v>-2281.1382370000001</v>
      </c>
      <c r="H22" s="21">
        <f t="shared" si="11"/>
        <v>-2281.1382370000001</v>
      </c>
      <c r="I22" s="21">
        <f t="shared" si="11"/>
        <v>-2558.6784391699994</v>
      </c>
      <c r="J22" s="21">
        <f t="shared" si="11"/>
        <v>-2558.6784391699994</v>
      </c>
      <c r="K22" s="21">
        <f t="shared" si="11"/>
        <v>-2558.6784391699994</v>
      </c>
      <c r="L22" s="21">
        <f t="shared" si="11"/>
        <v>-2558.6784391699994</v>
      </c>
      <c r="M22" s="21">
        <f t="shared" si="11"/>
        <v>-2558.6784391699994</v>
      </c>
      <c r="N22" s="21">
        <f t="shared" si="11"/>
        <v>-2558.6784391699994</v>
      </c>
      <c r="O22" s="21">
        <f t="shared" si="11"/>
        <v>-2558.6784391699994</v>
      </c>
      <c r="P22" s="21">
        <f t="shared" si="11"/>
        <v>-2558.6784391699994</v>
      </c>
      <c r="Q22" s="21">
        <f t="shared" si="11"/>
        <v>-2558.6784391699994</v>
      </c>
      <c r="R22" s="21">
        <f t="shared" si="11"/>
        <v>-2558.6784391699994</v>
      </c>
      <c r="S22" s="21">
        <f t="shared" si="11"/>
        <v>-2558.6784391699994</v>
      </c>
      <c r="T22" s="21">
        <f t="shared" si="11"/>
        <v>-2558.6784391699994</v>
      </c>
      <c r="U22" s="21">
        <f t="shared" si="11"/>
        <v>-2558.6784391699994</v>
      </c>
      <c r="V22" s="21">
        <f t="shared" si="11"/>
        <v>-2558.6784391699994</v>
      </c>
      <c r="W22" s="21">
        <f t="shared" si="11"/>
        <v>-2558.6784391699994</v>
      </c>
      <c r="X22" s="21">
        <f t="shared" si="11"/>
        <v>-2558.6784391699994</v>
      </c>
      <c r="Y22" s="21">
        <f t="shared" si="11"/>
        <v>-2558.6784391699994</v>
      </c>
      <c r="Z22" s="21">
        <f t="shared" si="11"/>
        <v>-2558.6784391699994</v>
      </c>
      <c r="AA22" s="21">
        <f t="shared" si="11"/>
        <v>-2558.6784391699994</v>
      </c>
      <c r="AB22" s="21">
        <f t="shared" si="11"/>
        <v>-2558.6784391699994</v>
      </c>
      <c r="AC22" s="21"/>
    </row>
    <row r="23" spans="1:29" ht="13.2">
      <c r="G23" s="20"/>
      <c r="H23" s="20"/>
    </row>
    <row r="24" spans="1:29" s="226" customFormat="1" ht="13.2">
      <c r="A24" s="224" t="s">
        <v>674</v>
      </c>
      <c r="G24" s="224"/>
    </row>
    <row r="25" spans="1:29" ht="13.2">
      <c r="A25" s="20" t="s">
        <v>667</v>
      </c>
      <c r="B25" s="21">
        <f t="shared" ref="B25:AB25" si="12">B14*VLOOKUP($A25,$A$39:$C$41,3,FALSE)</f>
        <v>-292.64342857142856</v>
      </c>
      <c r="C25" s="21">
        <f t="shared" si="12"/>
        <v>-292.64342857142856</v>
      </c>
      <c r="D25" s="21">
        <f t="shared" si="12"/>
        <v>-292.64342857142856</v>
      </c>
      <c r="E25" s="21">
        <f t="shared" si="12"/>
        <v>-292.64342857142856</v>
      </c>
      <c r="F25" s="21">
        <f t="shared" si="12"/>
        <v>-292.64342857142856</v>
      </c>
      <c r="G25" s="21">
        <f t="shared" si="12"/>
        <v>-292.64342857142856</v>
      </c>
      <c r="H25" s="21">
        <f t="shared" si="12"/>
        <v>-292.64342857142856</v>
      </c>
      <c r="I25" s="21">
        <f t="shared" si="12"/>
        <v>-328.2516</v>
      </c>
      <c r="J25" s="21">
        <f t="shared" si="12"/>
        <v>-328.2516</v>
      </c>
      <c r="K25" s="21">
        <f t="shared" si="12"/>
        <v>-328.2516</v>
      </c>
      <c r="L25" s="21">
        <f t="shared" si="12"/>
        <v>-328.2516</v>
      </c>
      <c r="M25" s="21">
        <f t="shared" si="12"/>
        <v>-328.2516</v>
      </c>
      <c r="N25" s="21">
        <f t="shared" si="12"/>
        <v>-328.2516</v>
      </c>
      <c r="O25" s="21">
        <f t="shared" si="12"/>
        <v>-328.2516</v>
      </c>
      <c r="P25" s="21">
        <f t="shared" si="12"/>
        <v>-328.2516</v>
      </c>
      <c r="Q25" s="21">
        <f t="shared" si="12"/>
        <v>-328.2516</v>
      </c>
      <c r="R25" s="21">
        <f t="shared" si="12"/>
        <v>-328.2516</v>
      </c>
      <c r="S25" s="21">
        <f t="shared" si="12"/>
        <v>-328.2516</v>
      </c>
      <c r="T25" s="21">
        <f t="shared" si="12"/>
        <v>-328.2516</v>
      </c>
      <c r="U25" s="21">
        <f t="shared" si="12"/>
        <v>-328.2516</v>
      </c>
      <c r="V25" s="21">
        <f t="shared" si="12"/>
        <v>-328.2516</v>
      </c>
      <c r="W25" s="21">
        <f t="shared" si="12"/>
        <v>-328.2516</v>
      </c>
      <c r="X25" s="21">
        <f t="shared" si="12"/>
        <v>-328.2516</v>
      </c>
      <c r="Y25" s="21">
        <f t="shared" si="12"/>
        <v>-328.2516</v>
      </c>
      <c r="Z25" s="21">
        <f t="shared" si="12"/>
        <v>-328.2516</v>
      </c>
      <c r="AA25" s="21">
        <f t="shared" si="12"/>
        <v>-328.2516</v>
      </c>
      <c r="AB25" s="21">
        <f t="shared" si="12"/>
        <v>-328.2516</v>
      </c>
      <c r="AC25" s="21"/>
    </row>
    <row r="26" spans="1:29" ht="13.2">
      <c r="A26" s="20" t="s">
        <v>668</v>
      </c>
      <c r="B26" s="21">
        <f t="shared" ref="B26:AB26" si="13">B15*VLOOKUP($A26,$A$39:$C$41,3,FALSE)</f>
        <v>-5577.7795940314281</v>
      </c>
      <c r="C26" s="21">
        <f t="shared" si="13"/>
        <v>-5577.7795940314281</v>
      </c>
      <c r="D26" s="21">
        <f t="shared" si="13"/>
        <v>-5577.7795940314281</v>
      </c>
      <c r="E26" s="21">
        <f t="shared" si="13"/>
        <v>-5577.7795940314281</v>
      </c>
      <c r="F26" s="21">
        <f t="shared" si="13"/>
        <v>-5577.7795940314281</v>
      </c>
      <c r="G26" s="21">
        <f t="shared" si="13"/>
        <v>-5577.7795940314281</v>
      </c>
      <c r="H26" s="21">
        <f t="shared" si="13"/>
        <v>-5577.7795940314281</v>
      </c>
      <c r="I26" s="21">
        <f t="shared" si="13"/>
        <v>-6256.4125711350007</v>
      </c>
      <c r="J26" s="21">
        <f t="shared" si="13"/>
        <v>-6256.4125711350007</v>
      </c>
      <c r="K26" s="21">
        <f t="shared" si="13"/>
        <v>-6256.4125711350007</v>
      </c>
      <c r="L26" s="21">
        <f t="shared" si="13"/>
        <v>-6256.4125711350007</v>
      </c>
      <c r="M26" s="21">
        <f t="shared" si="13"/>
        <v>-6256.4125711350007</v>
      </c>
      <c r="N26" s="21">
        <f t="shared" si="13"/>
        <v>-6256.4125711350007</v>
      </c>
      <c r="O26" s="21">
        <f t="shared" si="13"/>
        <v>-6256.4125711350007</v>
      </c>
      <c r="P26" s="21">
        <f t="shared" si="13"/>
        <v>-6256.4125711350007</v>
      </c>
      <c r="Q26" s="21">
        <f t="shared" si="13"/>
        <v>-6256.4125711350007</v>
      </c>
      <c r="R26" s="21">
        <f t="shared" si="13"/>
        <v>-6256.4125711350007</v>
      </c>
      <c r="S26" s="21">
        <f t="shared" si="13"/>
        <v>-6256.4125711350007</v>
      </c>
      <c r="T26" s="21">
        <f t="shared" si="13"/>
        <v>-6256.4125711350007</v>
      </c>
      <c r="U26" s="21">
        <f t="shared" si="13"/>
        <v>-6256.4125711350007</v>
      </c>
      <c r="V26" s="21">
        <f t="shared" si="13"/>
        <v>-6256.4125711350007</v>
      </c>
      <c r="W26" s="21">
        <f t="shared" si="13"/>
        <v>-6256.4125711350007</v>
      </c>
      <c r="X26" s="21">
        <f t="shared" si="13"/>
        <v>-6256.4125711350007</v>
      </c>
      <c r="Y26" s="21">
        <f t="shared" si="13"/>
        <v>-6256.4125711350007</v>
      </c>
      <c r="Z26" s="21">
        <f t="shared" si="13"/>
        <v>-6256.4125711350007</v>
      </c>
      <c r="AA26" s="21">
        <f t="shared" si="13"/>
        <v>-6256.4125711350007</v>
      </c>
      <c r="AB26" s="21">
        <f t="shared" si="13"/>
        <v>-6256.4125711350007</v>
      </c>
      <c r="AC26" s="21"/>
    </row>
    <row r="27" spans="1:29" ht="13.2">
      <c r="A27" s="20" t="s">
        <v>669</v>
      </c>
      <c r="B27" s="21">
        <f t="shared" ref="B27:AB27" si="14">B16*VLOOKUP($A27,$A$39:$C$41,3,FALSE)</f>
        <v>-450.67012298571427</v>
      </c>
      <c r="C27" s="21">
        <f t="shared" si="14"/>
        <v>-450.67012298571427</v>
      </c>
      <c r="D27" s="21">
        <f t="shared" si="14"/>
        <v>-450.67012298571427</v>
      </c>
      <c r="E27" s="21">
        <f t="shared" si="14"/>
        <v>-450.67012298571427</v>
      </c>
      <c r="F27" s="21">
        <f t="shared" si="14"/>
        <v>-450.67012298571427</v>
      </c>
      <c r="G27" s="21">
        <f t="shared" si="14"/>
        <v>-450.67012298571427</v>
      </c>
      <c r="H27" s="21">
        <f t="shared" si="14"/>
        <v>-450.67012298571427</v>
      </c>
      <c r="I27" s="21">
        <f t="shared" si="14"/>
        <v>-505.50199376699987</v>
      </c>
      <c r="J27" s="21">
        <f t="shared" si="14"/>
        <v>-505.50199376699987</v>
      </c>
      <c r="K27" s="21">
        <f t="shared" si="14"/>
        <v>-505.50199376699987</v>
      </c>
      <c r="L27" s="21">
        <f t="shared" si="14"/>
        <v>-505.50199376699987</v>
      </c>
      <c r="M27" s="21">
        <f t="shared" si="14"/>
        <v>-505.50199376699987</v>
      </c>
      <c r="N27" s="21">
        <f t="shared" si="14"/>
        <v>-505.50199376699987</v>
      </c>
      <c r="O27" s="21">
        <f t="shared" si="14"/>
        <v>-505.50199376699987</v>
      </c>
      <c r="P27" s="21">
        <f t="shared" si="14"/>
        <v>-505.50199376699987</v>
      </c>
      <c r="Q27" s="21">
        <f t="shared" si="14"/>
        <v>-505.50199376699987</v>
      </c>
      <c r="R27" s="21">
        <f t="shared" si="14"/>
        <v>-505.50199376699987</v>
      </c>
      <c r="S27" s="21">
        <f t="shared" si="14"/>
        <v>-505.50199376699987</v>
      </c>
      <c r="T27" s="21">
        <f t="shared" si="14"/>
        <v>-505.50199376699987</v>
      </c>
      <c r="U27" s="21">
        <f t="shared" si="14"/>
        <v>-505.50199376699987</v>
      </c>
      <c r="V27" s="21">
        <f t="shared" si="14"/>
        <v>-505.50199376699987</v>
      </c>
      <c r="W27" s="21">
        <f t="shared" si="14"/>
        <v>-505.50199376699987</v>
      </c>
      <c r="X27" s="21">
        <f t="shared" si="14"/>
        <v>-505.50199376699987</v>
      </c>
      <c r="Y27" s="21">
        <f t="shared" si="14"/>
        <v>-505.50199376699987</v>
      </c>
      <c r="Z27" s="21">
        <f t="shared" si="14"/>
        <v>-505.50199376699987</v>
      </c>
      <c r="AA27" s="21">
        <f t="shared" si="14"/>
        <v>-505.50199376699987</v>
      </c>
      <c r="AB27" s="21">
        <f t="shared" si="14"/>
        <v>-505.50199376699987</v>
      </c>
      <c r="AC27" s="21"/>
    </row>
    <row r="28" spans="1:29" ht="13.2">
      <c r="A28" s="20"/>
      <c r="G28" s="20"/>
    </row>
    <row r="29" spans="1:29" s="248" customFormat="1" ht="13.2">
      <c r="A29" s="232" t="s">
        <v>675</v>
      </c>
      <c r="G29" s="232"/>
    </row>
    <row r="30" spans="1:29" ht="13.2">
      <c r="A30" s="20" t="s">
        <v>667</v>
      </c>
      <c r="B30" s="21">
        <f t="shared" ref="B30:AB30" si="15">B20-B25</f>
        <v>1259.136857142857</v>
      </c>
      <c r="C30" s="21">
        <f t="shared" si="15"/>
        <v>1259.136857142857</v>
      </c>
      <c r="D30" s="21">
        <f t="shared" si="15"/>
        <v>1259.136857142857</v>
      </c>
      <c r="E30" s="21">
        <f t="shared" si="15"/>
        <v>1259.136857142857</v>
      </c>
      <c r="F30" s="21">
        <f t="shared" si="15"/>
        <v>1259.136857142857</v>
      </c>
      <c r="G30" s="21">
        <f t="shared" si="15"/>
        <v>1259.136857142857</v>
      </c>
      <c r="H30" s="21">
        <f t="shared" si="15"/>
        <v>1259.136857142857</v>
      </c>
      <c r="I30" s="21">
        <f t="shared" si="15"/>
        <v>1412.3457000000001</v>
      </c>
      <c r="J30" s="21">
        <f t="shared" si="15"/>
        <v>1412.3457000000001</v>
      </c>
      <c r="K30" s="21">
        <f t="shared" si="15"/>
        <v>1412.3457000000001</v>
      </c>
      <c r="L30" s="21">
        <f t="shared" si="15"/>
        <v>1412.3457000000001</v>
      </c>
      <c r="M30" s="21">
        <f t="shared" si="15"/>
        <v>1412.3457000000001</v>
      </c>
      <c r="N30" s="21">
        <f t="shared" si="15"/>
        <v>1412.3457000000001</v>
      </c>
      <c r="O30" s="21">
        <f t="shared" si="15"/>
        <v>1412.3457000000001</v>
      </c>
      <c r="P30" s="21">
        <f t="shared" si="15"/>
        <v>1412.3457000000001</v>
      </c>
      <c r="Q30" s="21">
        <f t="shared" si="15"/>
        <v>1412.3457000000001</v>
      </c>
      <c r="R30" s="21">
        <f t="shared" si="15"/>
        <v>1412.3457000000001</v>
      </c>
      <c r="S30" s="21">
        <f t="shared" si="15"/>
        <v>1412.3457000000001</v>
      </c>
      <c r="T30" s="21">
        <f t="shared" si="15"/>
        <v>1412.3457000000001</v>
      </c>
      <c r="U30" s="21">
        <f t="shared" si="15"/>
        <v>1412.3457000000001</v>
      </c>
      <c r="V30" s="21">
        <f t="shared" si="15"/>
        <v>1412.3457000000001</v>
      </c>
      <c r="W30" s="21">
        <f t="shared" si="15"/>
        <v>1412.3457000000001</v>
      </c>
      <c r="X30" s="21">
        <f t="shared" si="15"/>
        <v>1412.3457000000001</v>
      </c>
      <c r="Y30" s="21">
        <f t="shared" si="15"/>
        <v>1412.3457000000001</v>
      </c>
      <c r="Z30" s="21">
        <f t="shared" si="15"/>
        <v>1412.3457000000001</v>
      </c>
      <c r="AA30" s="21">
        <f t="shared" si="15"/>
        <v>1412.3457000000001</v>
      </c>
      <c r="AB30" s="21">
        <f t="shared" si="15"/>
        <v>1412.3457000000001</v>
      </c>
    </row>
    <row r="31" spans="1:29" ht="13.2">
      <c r="A31" s="20" t="s">
        <v>668</v>
      </c>
      <c r="B31" s="21">
        <f t="shared" ref="B31:AB31" si="16">B21-B26</f>
        <v>-4983.0608134542854</v>
      </c>
      <c r="C31" s="21">
        <f t="shared" si="16"/>
        <v>-4983.0608134542854</v>
      </c>
      <c r="D31" s="21">
        <f t="shared" si="16"/>
        <v>-4983.0608134542854</v>
      </c>
      <c r="E31" s="21">
        <f t="shared" si="16"/>
        <v>-4983.0608134542854</v>
      </c>
      <c r="F31" s="21">
        <f t="shared" si="16"/>
        <v>-4983.0608134542854</v>
      </c>
      <c r="G31" s="21">
        <f t="shared" si="16"/>
        <v>-4983.0608134542854</v>
      </c>
      <c r="H31" s="21">
        <f t="shared" si="16"/>
        <v>-4983.0608134542854</v>
      </c>
      <c r="I31" s="21">
        <f t="shared" si="16"/>
        <v>-5589.336005565001</v>
      </c>
      <c r="J31" s="21">
        <f t="shared" si="16"/>
        <v>-5589.336005565001</v>
      </c>
      <c r="K31" s="21">
        <f t="shared" si="16"/>
        <v>-5589.336005565001</v>
      </c>
      <c r="L31" s="21">
        <f t="shared" si="16"/>
        <v>-5589.336005565001</v>
      </c>
      <c r="M31" s="21">
        <f t="shared" si="16"/>
        <v>-5589.336005565001</v>
      </c>
      <c r="N31" s="21">
        <f t="shared" si="16"/>
        <v>-5589.336005565001</v>
      </c>
      <c r="O31" s="21">
        <f t="shared" si="16"/>
        <v>-5589.336005565001</v>
      </c>
      <c r="P31" s="21">
        <f t="shared" si="16"/>
        <v>-5589.336005565001</v>
      </c>
      <c r="Q31" s="21">
        <f t="shared" si="16"/>
        <v>-5589.336005565001</v>
      </c>
      <c r="R31" s="21">
        <f t="shared" si="16"/>
        <v>-5589.336005565001</v>
      </c>
      <c r="S31" s="21">
        <f t="shared" si="16"/>
        <v>-5589.336005565001</v>
      </c>
      <c r="T31" s="21">
        <f t="shared" si="16"/>
        <v>-5589.336005565001</v>
      </c>
      <c r="U31" s="21">
        <f t="shared" si="16"/>
        <v>-5589.336005565001</v>
      </c>
      <c r="V31" s="21">
        <f t="shared" si="16"/>
        <v>-5589.336005565001</v>
      </c>
      <c r="W31" s="21">
        <f t="shared" si="16"/>
        <v>-5589.336005565001</v>
      </c>
      <c r="X31" s="21">
        <f t="shared" si="16"/>
        <v>-5589.336005565001</v>
      </c>
      <c r="Y31" s="21">
        <f t="shared" si="16"/>
        <v>-5589.336005565001</v>
      </c>
      <c r="Z31" s="21">
        <f t="shared" si="16"/>
        <v>-5589.336005565001</v>
      </c>
      <c r="AA31" s="21">
        <f t="shared" si="16"/>
        <v>-5589.336005565001</v>
      </c>
      <c r="AB31" s="21">
        <f t="shared" si="16"/>
        <v>-5589.336005565001</v>
      </c>
    </row>
    <row r="32" spans="1:29" ht="13.2">
      <c r="A32" s="20" t="s">
        <v>669</v>
      </c>
      <c r="B32" s="21">
        <f t="shared" ref="B32:AB32" si="17">B22-B27</f>
        <v>-1830.4681140142859</v>
      </c>
      <c r="C32" s="21">
        <f t="shared" si="17"/>
        <v>-1830.4681140142859</v>
      </c>
      <c r="D32" s="21">
        <f t="shared" si="17"/>
        <v>-1830.4681140142859</v>
      </c>
      <c r="E32" s="21">
        <f t="shared" si="17"/>
        <v>-1830.4681140142859</v>
      </c>
      <c r="F32" s="21">
        <f t="shared" si="17"/>
        <v>-1830.4681140142859</v>
      </c>
      <c r="G32" s="21">
        <f t="shared" si="17"/>
        <v>-1830.4681140142859</v>
      </c>
      <c r="H32" s="21">
        <f t="shared" si="17"/>
        <v>-1830.4681140142859</v>
      </c>
      <c r="I32" s="21">
        <f t="shared" si="17"/>
        <v>-2053.1764454029994</v>
      </c>
      <c r="J32" s="21">
        <f t="shared" si="17"/>
        <v>-2053.1764454029994</v>
      </c>
      <c r="K32" s="21">
        <f t="shared" si="17"/>
        <v>-2053.1764454029994</v>
      </c>
      <c r="L32" s="21">
        <f t="shared" si="17"/>
        <v>-2053.1764454029994</v>
      </c>
      <c r="M32" s="21">
        <f t="shared" si="17"/>
        <v>-2053.1764454029994</v>
      </c>
      <c r="N32" s="21">
        <f t="shared" si="17"/>
        <v>-2053.1764454029994</v>
      </c>
      <c r="O32" s="21">
        <f t="shared" si="17"/>
        <v>-2053.1764454029994</v>
      </c>
      <c r="P32" s="21">
        <f t="shared" si="17"/>
        <v>-2053.1764454029994</v>
      </c>
      <c r="Q32" s="21">
        <f t="shared" si="17"/>
        <v>-2053.1764454029994</v>
      </c>
      <c r="R32" s="21">
        <f t="shared" si="17"/>
        <v>-2053.1764454029994</v>
      </c>
      <c r="S32" s="21">
        <f t="shared" si="17"/>
        <v>-2053.1764454029994</v>
      </c>
      <c r="T32" s="21">
        <f t="shared" si="17"/>
        <v>-2053.1764454029994</v>
      </c>
      <c r="U32" s="21">
        <f t="shared" si="17"/>
        <v>-2053.1764454029994</v>
      </c>
      <c r="V32" s="21">
        <f t="shared" si="17"/>
        <v>-2053.1764454029994</v>
      </c>
      <c r="W32" s="21">
        <f t="shared" si="17"/>
        <v>-2053.1764454029994</v>
      </c>
      <c r="X32" s="21">
        <f t="shared" si="17"/>
        <v>-2053.1764454029994</v>
      </c>
      <c r="Y32" s="21">
        <f t="shared" si="17"/>
        <v>-2053.1764454029994</v>
      </c>
      <c r="Z32" s="21">
        <f t="shared" si="17"/>
        <v>-2053.1764454029994</v>
      </c>
      <c r="AA32" s="21">
        <f t="shared" si="17"/>
        <v>-2053.1764454029994</v>
      </c>
      <c r="AB32" s="21">
        <f t="shared" si="17"/>
        <v>-2053.1764454029994</v>
      </c>
    </row>
    <row r="33" spans="1:28" ht="13.2">
      <c r="A33" s="20" t="s">
        <v>32</v>
      </c>
      <c r="B33" s="21">
        <f t="shared" ref="B33:AB33" si="18">SUM(B30:B32)</f>
        <v>-5554.3920703257145</v>
      </c>
      <c r="C33" s="21">
        <f t="shared" si="18"/>
        <v>-5554.3920703257145</v>
      </c>
      <c r="D33" s="21">
        <f t="shared" si="18"/>
        <v>-5554.3920703257145</v>
      </c>
      <c r="E33" s="21">
        <f t="shared" si="18"/>
        <v>-5554.3920703257145</v>
      </c>
      <c r="F33" s="21">
        <f t="shared" si="18"/>
        <v>-5554.3920703257145</v>
      </c>
      <c r="G33" s="21">
        <f t="shared" si="18"/>
        <v>-5554.3920703257145</v>
      </c>
      <c r="H33" s="21">
        <f t="shared" si="18"/>
        <v>-5554.3920703257145</v>
      </c>
      <c r="I33" s="21">
        <f t="shared" si="18"/>
        <v>-6230.166750968001</v>
      </c>
      <c r="J33" s="21">
        <f t="shared" si="18"/>
        <v>-6230.166750968001</v>
      </c>
      <c r="K33" s="21">
        <f t="shared" si="18"/>
        <v>-6230.166750968001</v>
      </c>
      <c r="L33" s="21">
        <f t="shared" si="18"/>
        <v>-6230.166750968001</v>
      </c>
      <c r="M33" s="21">
        <f t="shared" si="18"/>
        <v>-6230.166750968001</v>
      </c>
      <c r="N33" s="21">
        <f t="shared" si="18"/>
        <v>-6230.166750968001</v>
      </c>
      <c r="O33" s="21">
        <f t="shared" si="18"/>
        <v>-6230.166750968001</v>
      </c>
      <c r="P33" s="21">
        <f t="shared" si="18"/>
        <v>-6230.166750968001</v>
      </c>
      <c r="Q33" s="21">
        <f t="shared" si="18"/>
        <v>-6230.166750968001</v>
      </c>
      <c r="R33" s="21">
        <f t="shared" si="18"/>
        <v>-6230.166750968001</v>
      </c>
      <c r="S33" s="21">
        <f t="shared" si="18"/>
        <v>-6230.166750968001</v>
      </c>
      <c r="T33" s="21">
        <f t="shared" si="18"/>
        <v>-6230.166750968001</v>
      </c>
      <c r="U33" s="21">
        <f t="shared" si="18"/>
        <v>-6230.166750968001</v>
      </c>
      <c r="V33" s="21">
        <f t="shared" si="18"/>
        <v>-6230.166750968001</v>
      </c>
      <c r="W33" s="21">
        <f t="shared" si="18"/>
        <v>-6230.166750968001</v>
      </c>
      <c r="X33" s="21">
        <f t="shared" si="18"/>
        <v>-6230.166750968001</v>
      </c>
      <c r="Y33" s="21">
        <f t="shared" si="18"/>
        <v>-6230.166750968001</v>
      </c>
      <c r="Z33" s="21">
        <f t="shared" si="18"/>
        <v>-6230.166750968001</v>
      </c>
      <c r="AA33" s="21">
        <f t="shared" si="18"/>
        <v>-6230.166750968001</v>
      </c>
      <c r="AB33" s="21">
        <f t="shared" si="18"/>
        <v>-6230.166750968001</v>
      </c>
    </row>
    <row r="34" spans="1:28" ht="13.2">
      <c r="A34" s="20"/>
      <c r="G34" s="20"/>
    </row>
    <row r="35" spans="1:28" ht="13.2">
      <c r="A35" s="20"/>
      <c r="G35" s="20"/>
    </row>
    <row r="36" spans="1:28" ht="13.2">
      <c r="A36" s="20" t="s">
        <v>676</v>
      </c>
      <c r="G36" s="20"/>
    </row>
    <row r="37" spans="1:28" ht="13.2">
      <c r="A37" s="20" t="s">
        <v>677</v>
      </c>
    </row>
    <row r="38" spans="1:28" ht="13.2">
      <c r="B38" s="20" t="s">
        <v>678</v>
      </c>
      <c r="C38" s="20" t="s">
        <v>679</v>
      </c>
      <c r="G38" s="20"/>
      <c r="H38" s="20"/>
      <c r="I38" s="20"/>
    </row>
    <row r="39" spans="1:28" ht="13.2">
      <c r="A39" s="20" t="s">
        <v>667</v>
      </c>
      <c r="B39" s="173">
        <v>0.502</v>
      </c>
      <c r="C39" s="95">
        <v>-0.152</v>
      </c>
      <c r="G39" s="20"/>
      <c r="H39" s="20"/>
      <c r="I39" s="20"/>
    </row>
    <row r="40" spans="1:28" ht="13.2">
      <c r="A40" s="20" t="s">
        <v>668</v>
      </c>
      <c r="B40" s="75">
        <v>-0.20052</v>
      </c>
      <c r="C40" s="75">
        <v>-0.105906</v>
      </c>
      <c r="G40" s="20"/>
      <c r="H40" s="20"/>
      <c r="I40" s="20"/>
    </row>
    <row r="41" spans="1:28" ht="13.2">
      <c r="A41" s="20" t="s">
        <v>669</v>
      </c>
      <c r="B41" s="75">
        <v>-0.53605999999999998</v>
      </c>
      <c r="C41" s="75">
        <v>-0.105906</v>
      </c>
      <c r="G41" s="20"/>
      <c r="H41" s="20"/>
      <c r="I41" s="20"/>
    </row>
    <row r="43" spans="1:28" ht="13.2">
      <c r="A43" s="20" t="s">
        <v>680</v>
      </c>
    </row>
    <row r="44" spans="1:28" ht="13.2">
      <c r="A44" s="19" t="s">
        <v>681</v>
      </c>
    </row>
    <row r="66" spans="1:9" ht="13.2">
      <c r="B66" s="174"/>
      <c r="C66" s="174"/>
      <c r="D66" s="174"/>
      <c r="G66" s="174"/>
      <c r="H66" s="174"/>
      <c r="I66" s="174"/>
    </row>
    <row r="67" spans="1:9" ht="13.2">
      <c r="B67" s="174"/>
      <c r="C67" s="174"/>
      <c r="D67" s="174"/>
      <c r="E67" s="174"/>
      <c r="F67" s="174"/>
      <c r="G67" s="174"/>
      <c r="H67" s="174"/>
      <c r="I67" s="174"/>
    </row>
    <row r="68" spans="1:9" ht="13.2">
      <c r="A68" s="174"/>
      <c r="B68" s="174"/>
      <c r="C68" s="174"/>
      <c r="D68" s="174"/>
      <c r="E68" s="174"/>
      <c r="F68" s="174"/>
      <c r="G68" s="174"/>
      <c r="H68" s="174"/>
      <c r="I68" s="174"/>
    </row>
  </sheetData>
  <hyperlinks>
    <hyperlink ref="A44" r:id="rId1" xr:uid="{00000000-0004-0000-1C00-000000000000}"/>
  </hyperlinks>
  <pageMargins left="0.7" right="0.7" top="0.75" bottom="0.75" header="0.3" footer="0.3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59999389629810485"/>
    <outlinePr summaryBelow="0" summaryRight="0"/>
  </sheetPr>
  <dimension ref="A1:Y1005"/>
  <sheetViews>
    <sheetView showGridLines="0" topLeftCell="A7" workbookViewId="0"/>
  </sheetViews>
  <sheetFormatPr defaultColWidth="12.5546875" defaultRowHeight="15.75" customHeight="1"/>
  <cols>
    <col min="3" max="3" width="18" bestFit="1" customWidth="1"/>
    <col min="11" max="11" width="13.88671875" bestFit="1" customWidth="1"/>
  </cols>
  <sheetData>
    <row r="1" spans="1:25" ht="15.7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3.2">
      <c r="A2" s="3" t="s">
        <v>1</v>
      </c>
      <c r="B2" s="4"/>
      <c r="C2" s="3" t="s">
        <v>2</v>
      </c>
      <c r="D2" s="2"/>
      <c r="E2" s="3" t="s">
        <v>1</v>
      </c>
      <c r="F2" s="4"/>
      <c r="G2" s="3" t="s">
        <v>2</v>
      </c>
      <c r="H2" s="2"/>
      <c r="I2" s="3" t="s">
        <v>1</v>
      </c>
      <c r="J2" s="4"/>
      <c r="K2" s="3" t="s">
        <v>2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3.2">
      <c r="A3" s="5" t="s">
        <v>3</v>
      </c>
      <c r="B3" s="5" t="s">
        <v>4</v>
      </c>
      <c r="C3" s="6">
        <v>2021</v>
      </c>
      <c r="D3" s="2"/>
      <c r="E3" s="5" t="s">
        <v>3</v>
      </c>
      <c r="F3" s="5" t="s">
        <v>4</v>
      </c>
      <c r="G3" s="6">
        <v>2021</v>
      </c>
      <c r="H3" s="2"/>
      <c r="I3" s="5" t="s">
        <v>3</v>
      </c>
      <c r="J3" s="5" t="s">
        <v>4</v>
      </c>
      <c r="K3" s="6">
        <v>2021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3.2">
      <c r="A4" s="7" t="s">
        <v>5</v>
      </c>
      <c r="B4" s="7" t="s">
        <v>6</v>
      </c>
      <c r="C4" s="8">
        <v>524183626</v>
      </c>
      <c r="D4" s="9"/>
      <c r="E4" s="7" t="s">
        <v>5</v>
      </c>
      <c r="F4" s="7" t="s">
        <v>7</v>
      </c>
      <c r="G4" s="8">
        <v>826624792</v>
      </c>
      <c r="H4" s="2"/>
      <c r="I4" s="7" t="s">
        <v>5</v>
      </c>
      <c r="J4" s="7" t="s">
        <v>8</v>
      </c>
      <c r="K4" s="8">
        <v>279076797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3.2">
      <c r="A5" s="7" t="s">
        <v>9</v>
      </c>
      <c r="B5" s="7" t="s">
        <v>6</v>
      </c>
      <c r="C5" s="8">
        <v>297267021</v>
      </c>
      <c r="D5" s="9"/>
      <c r="E5" s="7" t="s">
        <v>9</v>
      </c>
      <c r="F5" s="7" t="s">
        <v>7</v>
      </c>
      <c r="G5" s="8">
        <v>534926238</v>
      </c>
      <c r="H5" s="2"/>
      <c r="I5" s="7" t="s">
        <v>9</v>
      </c>
      <c r="J5" s="7" t="s">
        <v>8</v>
      </c>
      <c r="K5" s="8">
        <v>1080113676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3.2">
      <c r="A6" s="10" t="s">
        <v>10</v>
      </c>
      <c r="B6" s="10" t="s">
        <v>6</v>
      </c>
      <c r="C6" s="11">
        <v>2563955866</v>
      </c>
      <c r="D6" s="9"/>
      <c r="E6" s="10" t="s">
        <v>10</v>
      </c>
      <c r="F6" s="10" t="s">
        <v>7</v>
      </c>
      <c r="G6" s="11">
        <v>2609692474</v>
      </c>
      <c r="H6" s="2"/>
      <c r="I6" s="10" t="s">
        <v>10</v>
      </c>
      <c r="J6" s="10" t="s">
        <v>8</v>
      </c>
      <c r="K6" s="11">
        <v>1578112546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3.2">
      <c r="A7" s="12" t="s">
        <v>11</v>
      </c>
      <c r="B7" s="4"/>
      <c r="C7" s="13">
        <v>3385406513</v>
      </c>
      <c r="D7" s="9"/>
      <c r="E7" s="12" t="s">
        <v>11</v>
      </c>
      <c r="F7" s="4"/>
      <c r="G7" s="13">
        <v>3971243504</v>
      </c>
      <c r="H7" s="2"/>
      <c r="I7" s="12" t="s">
        <v>11</v>
      </c>
      <c r="J7" s="4"/>
      <c r="K7" s="13">
        <v>2937303019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3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3.2">
      <c r="A9" s="3" t="s">
        <v>1</v>
      </c>
      <c r="B9" s="4"/>
      <c r="C9" s="3" t="s">
        <v>2</v>
      </c>
      <c r="D9" s="2"/>
      <c r="E9" s="3" t="s">
        <v>1</v>
      </c>
      <c r="F9" s="4"/>
      <c r="G9" s="3" t="s">
        <v>2</v>
      </c>
      <c r="H9" s="2"/>
      <c r="I9" s="14" t="s">
        <v>1</v>
      </c>
      <c r="J9" s="4"/>
      <c r="K9" s="3" t="s">
        <v>2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3.2">
      <c r="A10" s="5" t="s">
        <v>12</v>
      </c>
      <c r="B10" s="5" t="s">
        <v>4</v>
      </c>
      <c r="C10" s="6">
        <v>2021</v>
      </c>
      <c r="D10" s="2"/>
      <c r="E10" s="5" t="s">
        <v>12</v>
      </c>
      <c r="F10" s="5" t="s">
        <v>4</v>
      </c>
      <c r="G10" s="6">
        <v>2021</v>
      </c>
      <c r="H10" s="2"/>
      <c r="I10" s="5" t="s">
        <v>12</v>
      </c>
      <c r="J10" s="5" t="s">
        <v>4</v>
      </c>
      <c r="K10" s="6">
        <v>2021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3.2">
      <c r="A11" s="7" t="s">
        <v>13</v>
      </c>
      <c r="B11" s="7" t="s">
        <v>6</v>
      </c>
      <c r="C11" s="8">
        <v>44980451980</v>
      </c>
      <c r="D11" s="2"/>
      <c r="E11" s="7" t="s">
        <v>13</v>
      </c>
      <c r="F11" s="7" t="s">
        <v>7</v>
      </c>
      <c r="G11" s="8">
        <v>53171192980</v>
      </c>
      <c r="H11" s="2"/>
      <c r="I11" s="7" t="s">
        <v>13</v>
      </c>
      <c r="J11" s="7" t="s">
        <v>8</v>
      </c>
      <c r="K11" s="8">
        <v>49529406000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3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5.75" customHeight="1">
      <c r="A13" s="1" t="s">
        <v>14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3.2">
      <c r="A14" s="3" t="s">
        <v>15</v>
      </c>
      <c r="B14" s="4"/>
      <c r="C14" s="3" t="s">
        <v>2</v>
      </c>
      <c r="D14" s="2"/>
      <c r="E14" s="3" t="s">
        <v>15</v>
      </c>
      <c r="F14" s="4"/>
      <c r="G14" s="3" t="s">
        <v>2</v>
      </c>
      <c r="H14" s="2"/>
      <c r="I14" s="3" t="s">
        <v>15</v>
      </c>
      <c r="J14" s="4"/>
      <c r="K14" s="3" t="s">
        <v>2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3.2">
      <c r="A15" s="5" t="s">
        <v>3</v>
      </c>
      <c r="B15" s="5" t="s">
        <v>4</v>
      </c>
      <c r="C15" s="6">
        <v>2021</v>
      </c>
      <c r="D15" s="2"/>
      <c r="E15" s="5" t="s">
        <v>3</v>
      </c>
      <c r="F15" s="5" t="s">
        <v>4</v>
      </c>
      <c r="G15" s="6">
        <v>2021</v>
      </c>
      <c r="H15" s="2"/>
      <c r="I15" s="5" t="s">
        <v>3</v>
      </c>
      <c r="J15" s="5" t="s">
        <v>4</v>
      </c>
      <c r="K15" s="6">
        <v>2021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3.2">
      <c r="A16" s="7" t="s">
        <v>5</v>
      </c>
      <c r="B16" s="7" t="s">
        <v>6</v>
      </c>
      <c r="C16" s="8">
        <v>2076244</v>
      </c>
      <c r="D16" s="2"/>
      <c r="E16" s="7" t="s">
        <v>5</v>
      </c>
      <c r="F16" s="7" t="s">
        <v>7</v>
      </c>
      <c r="G16" s="8">
        <v>2909000</v>
      </c>
      <c r="H16" s="2"/>
      <c r="I16" s="7" t="s">
        <v>5</v>
      </c>
      <c r="J16" s="7" t="s">
        <v>8</v>
      </c>
      <c r="K16" s="8">
        <v>511369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3.2">
      <c r="A17" s="7" t="s">
        <v>9</v>
      </c>
      <c r="B17" s="7" t="s">
        <v>6</v>
      </c>
      <c r="C17" s="8">
        <v>1169745</v>
      </c>
      <c r="D17" s="2"/>
      <c r="E17" s="7" t="s">
        <v>9</v>
      </c>
      <c r="F17" s="7" t="s">
        <v>7</v>
      </c>
      <c r="G17" s="8">
        <v>1759108</v>
      </c>
      <c r="H17" s="2"/>
      <c r="I17" s="7" t="s">
        <v>9</v>
      </c>
      <c r="J17" s="7" t="s">
        <v>8</v>
      </c>
      <c r="K17" s="8">
        <v>5594517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3.2">
      <c r="A18" s="10" t="s">
        <v>10</v>
      </c>
      <c r="B18" s="10" t="s">
        <v>6</v>
      </c>
      <c r="C18" s="11">
        <v>9359453</v>
      </c>
      <c r="D18" s="2"/>
      <c r="E18" s="10" t="s">
        <v>10</v>
      </c>
      <c r="F18" s="10" t="s">
        <v>7</v>
      </c>
      <c r="G18" s="11">
        <v>12232743</v>
      </c>
      <c r="H18" s="2"/>
      <c r="I18" s="10" t="s">
        <v>10</v>
      </c>
      <c r="J18" s="10" t="s">
        <v>8</v>
      </c>
      <c r="K18" s="11">
        <v>5104803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3.2">
      <c r="A19" s="12" t="s">
        <v>11</v>
      </c>
      <c r="B19" s="4"/>
      <c r="C19" s="13">
        <v>12605442</v>
      </c>
      <c r="D19" s="2"/>
      <c r="E19" s="12" t="s">
        <v>11</v>
      </c>
      <c r="F19" s="4"/>
      <c r="G19" s="13">
        <v>16900851</v>
      </c>
      <c r="H19" s="2"/>
      <c r="I19" s="12" t="s">
        <v>11</v>
      </c>
      <c r="J19" s="4"/>
      <c r="K19" s="13">
        <v>11210690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3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3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5.75" customHeight="1">
      <c r="A22" s="1" t="s">
        <v>16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3.2">
      <c r="A23" s="5" t="s">
        <v>3</v>
      </c>
      <c r="B23" s="15" t="s">
        <v>17</v>
      </c>
      <c r="C23" s="15" t="s">
        <v>18</v>
      </c>
      <c r="D23" s="15" t="s">
        <v>19</v>
      </c>
      <c r="E23" s="15" t="s">
        <v>20</v>
      </c>
      <c r="F23" s="15" t="s">
        <v>21</v>
      </c>
      <c r="G23" s="15" t="s">
        <v>22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3.2">
      <c r="A24" s="7" t="s">
        <v>5</v>
      </c>
      <c r="B24" s="16">
        <v>10.333445709999999</v>
      </c>
      <c r="C24" s="16">
        <v>1058.5860279999999</v>
      </c>
      <c r="D24" s="16">
        <v>284.49645909999998</v>
      </c>
      <c r="E24" s="16">
        <v>6.1943843689999998</v>
      </c>
      <c r="F24" s="16">
        <v>48.357510660000003</v>
      </c>
      <c r="G24" s="16">
        <v>110.1876932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3.2">
      <c r="A25" s="7" t="s">
        <v>9</v>
      </c>
      <c r="B25" s="16">
        <v>7.0419503319999999</v>
      </c>
      <c r="C25" s="16">
        <v>721.39637100000004</v>
      </c>
      <c r="D25" s="16">
        <v>193.8762724</v>
      </c>
      <c r="E25" s="16">
        <v>4.2212973580000002</v>
      </c>
      <c r="F25" s="16">
        <v>32.95427274</v>
      </c>
      <c r="G25" s="16">
        <v>75.089789479999993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3.2">
      <c r="A26" s="10" t="s">
        <v>10</v>
      </c>
      <c r="B26" s="17">
        <v>29.284346549999999</v>
      </c>
      <c r="C26" s="17">
        <v>2999.9673859999998</v>
      </c>
      <c r="D26" s="17">
        <v>806.24538389999998</v>
      </c>
      <c r="E26" s="17">
        <v>17.554502500000002</v>
      </c>
      <c r="F26" s="17">
        <v>137.0421968</v>
      </c>
      <c r="G26" s="17">
        <v>312.26511319999997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3.2">
      <c r="A27" s="12" t="s">
        <v>11</v>
      </c>
      <c r="B27" s="18">
        <v>46.65974259</v>
      </c>
      <c r="C27" s="18">
        <v>4779.9497849999998</v>
      </c>
      <c r="D27" s="18">
        <v>1284.618115</v>
      </c>
      <c r="E27" s="18">
        <v>27.970184230000001</v>
      </c>
      <c r="F27" s="18">
        <v>218.3539802</v>
      </c>
      <c r="G27" s="18">
        <v>497.54259589999998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3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3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3.2">
      <c r="A30" s="5" t="s">
        <v>3</v>
      </c>
      <c r="B30" s="15" t="s">
        <v>23</v>
      </c>
      <c r="C30" s="15" t="s">
        <v>24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3.2">
      <c r="A31" s="7" t="s">
        <v>5</v>
      </c>
      <c r="B31" s="16">
        <v>167043</v>
      </c>
      <c r="C31" s="16">
        <v>71001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3.2">
      <c r="A32" s="7" t="s">
        <v>9</v>
      </c>
      <c r="B32" s="16">
        <v>107899</v>
      </c>
      <c r="C32" s="16">
        <v>46510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3.2">
      <c r="A33" s="10" t="s">
        <v>10</v>
      </c>
      <c r="B33" s="17">
        <v>536136</v>
      </c>
      <c r="C33" s="17">
        <v>251995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3.2">
      <c r="A34" s="12" t="s">
        <v>11</v>
      </c>
      <c r="B34" s="18">
        <v>811078</v>
      </c>
      <c r="C34" s="18">
        <v>369506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3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3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3.2">
      <c r="A37" s="5" t="s">
        <v>3</v>
      </c>
      <c r="B37" s="15" t="s">
        <v>23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3.2">
      <c r="A38" s="7" t="s">
        <v>5</v>
      </c>
      <c r="B38" s="8">
        <v>167043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3.2">
      <c r="A39" s="7" t="s">
        <v>9</v>
      </c>
      <c r="B39" s="8">
        <v>107899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3.2">
      <c r="A40" s="10" t="s">
        <v>10</v>
      </c>
      <c r="B40" s="11">
        <v>536136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3.2">
      <c r="A41" s="12" t="s">
        <v>11</v>
      </c>
      <c r="B41" s="13">
        <v>811078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3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3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13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3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3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3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3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3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3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3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3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3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3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3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3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3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3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3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3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3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3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3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3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3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3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3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3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3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3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3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3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3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3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3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3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3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3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3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3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3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3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3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3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3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3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3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3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3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3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3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3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3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3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3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3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3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3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3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3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3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3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3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3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3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3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3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3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3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3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3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3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3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3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3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3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3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3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3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3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3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3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3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3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3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3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3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3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3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3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3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3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3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3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3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3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3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3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3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3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3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3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3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3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3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3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3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3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3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3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3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3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3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3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3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3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3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3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3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3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3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3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3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3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3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3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3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3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3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3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3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3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3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3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3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3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3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3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3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3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3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3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3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3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3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3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3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3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3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3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3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3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3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3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3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3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3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3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3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3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3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3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3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3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3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3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3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3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3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3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3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3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3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3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3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3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3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3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3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3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3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3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3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3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3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3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3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3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3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3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3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3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3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3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3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3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3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3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3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3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3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3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3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3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3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3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3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3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3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3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3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3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3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3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3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3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3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3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3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3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3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3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3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3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3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3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3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3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3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3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3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3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3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3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3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3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3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3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3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3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3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3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3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3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3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3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3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3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3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3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3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3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3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3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3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3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3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3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3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3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3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3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3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3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3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3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3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3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3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3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3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3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3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3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3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3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3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3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3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3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3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3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3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3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3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3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3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3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3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3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3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3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3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3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3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3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3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3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3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3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3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3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3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3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3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3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3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3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3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3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3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3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3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3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3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3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3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3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3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3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3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3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3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3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3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3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3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3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3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3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3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3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3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3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3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3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3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3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3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3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3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3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3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3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3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3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3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3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3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3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3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3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3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3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3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3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3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3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3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3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3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3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3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3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3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3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3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3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3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3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3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3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3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3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3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3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3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3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3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3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3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3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3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3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3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3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3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3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3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3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3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3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3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3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3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3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3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ht="13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ht="13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spans="1:25" ht="13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ht="13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ht="13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ht="13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ht="13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spans="1:25" ht="13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 ht="13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ht="13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ht="13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ht="13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ht="13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spans="1:25" ht="13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5" ht="13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ht="13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ht="13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ht="13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ht="13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ht="13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ht="13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ht="13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ht="13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ht="13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ht="13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ht="13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ht="13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ht="13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ht="13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ht="13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ht="13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ht="13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ht="13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ht="13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spans="1:25" ht="13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ht="13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ht="13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ht="13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spans="1:25" ht="13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spans="1:25" ht="13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ht="13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ht="13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ht="13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5" ht="13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ht="13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spans="1:25" ht="13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ht="13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ht="13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ht="13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ht="13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ht="13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ht="13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5" ht="13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ht="13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ht="13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ht="13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ht="13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ht="13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ht="13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ht="13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ht="13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ht="13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spans="1:25" ht="13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ht="13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5" ht="13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ht="13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 ht="13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5" ht="13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ht="13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ht="13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ht="13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ht="13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ht="13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ht="13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ht="13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ht="13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ht="13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ht="13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ht="13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5" ht="13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ht="13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spans="1:25" ht="13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ht="13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spans="1:25" ht="13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ht="13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ht="13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spans="1:25" ht="13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ht="13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spans="1:25" ht="13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ht="13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ht="13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ht="13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ht="13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spans="1:25" ht="13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ht="13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ht="13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ht="13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ht="13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spans="1:25" ht="13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ht="13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spans="1:25" ht="13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ht="13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ht="13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ht="13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ht="13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ht="13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spans="1:25" ht="13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ht="13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ht="13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ht="13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ht="13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spans="1:25" ht="13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spans="1:25" ht="13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ht="13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ht="13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ht="13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ht="13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 ht="13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ht="13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ht="13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ht="13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ht="13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ht="13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ht="13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ht="13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ht="13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ht="13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ht="13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ht="13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ht="13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ht="13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ht="13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ht="13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ht="13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ht="13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ht="13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ht="13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spans="1:25" ht="13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spans="1:25" ht="13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ht="13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ht="13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ht="13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spans="1:25" ht="13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spans="1:25" ht="13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spans="1:25" ht="13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ht="13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ht="13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ht="13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spans="1:25" ht="13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spans="1:25" ht="13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spans="1:25" ht="13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ht="13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spans="1:25" ht="13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ht="13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ht="13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ht="13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spans="1:25" ht="13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ht="13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ht="13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ht="13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ht="13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ht="13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ht="13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ht="13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spans="1:25" ht="13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ht="13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ht="13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ht="13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ht="13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ht="13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spans="1:25" ht="13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ht="13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ht="13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ht="13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ht="13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spans="1:25" ht="13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spans="1:25" ht="13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ht="13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ht="13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ht="13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ht="13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spans="1:25" ht="13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ht="13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ht="13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ht="13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ht="13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ht="13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spans="1:25" ht="13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ht="13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ht="13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ht="13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ht="13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ht="13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ht="13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ht="13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ht="13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ht="13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ht="13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ht="13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ht="13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ht="13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ht="13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ht="13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ht="13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ht="13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ht="13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ht="13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ht="13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ht="13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ht="13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ht="13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ht="13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ht="13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ht="13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ht="13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ht="13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ht="13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ht="13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ht="13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ht="13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ht="13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ht="13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ht="13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ht="13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ht="13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ht="13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ht="13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ht="13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ht="13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ht="13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ht="13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ht="13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ht="13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ht="13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ht="13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ht="13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ht="13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ht="13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ht="13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ht="13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ht="13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ht="13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ht="13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ht="13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ht="13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ht="13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ht="13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ht="13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ht="13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ht="13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ht="13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ht="13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ht="13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ht="13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ht="13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ht="13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ht="13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ht="13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ht="13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ht="13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ht="13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ht="13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ht="13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ht="13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ht="13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ht="13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ht="13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ht="13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ht="13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ht="13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ht="13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ht="13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ht="13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ht="13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ht="13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ht="13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ht="13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ht="13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ht="13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ht="13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ht="13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ht="13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ht="13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ht="13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ht="13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ht="13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ht="13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ht="13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ht="13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ht="13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ht="13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ht="13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ht="13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ht="13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ht="13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ht="13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ht="13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ht="13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ht="13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ht="13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ht="13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ht="13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ht="13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ht="13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ht="13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ht="13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ht="13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ht="13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ht="13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ht="13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ht="13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ht="13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ht="13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ht="13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ht="13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ht="13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ht="13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ht="13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ht="13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ht="13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ht="13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ht="13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ht="13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ht="13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ht="13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ht="13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ht="13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ht="13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ht="13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ht="13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ht="13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ht="13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ht="13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ht="13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ht="13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ht="13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ht="13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ht="13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ht="13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ht="13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ht="13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ht="13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ht="13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ht="13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ht="13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ht="13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ht="13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ht="13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ht="13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ht="13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ht="13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ht="13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ht="13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ht="13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ht="13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ht="13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ht="13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ht="13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ht="13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ht="13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ht="13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ht="13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ht="13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ht="13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ht="13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ht="13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ht="13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ht="13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ht="13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ht="13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ht="13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ht="13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ht="13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ht="13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ht="13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ht="13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ht="13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ht="13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ht="13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ht="13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ht="13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ht="13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ht="13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ht="13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ht="13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ht="13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ht="13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ht="13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ht="13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ht="13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ht="13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ht="13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ht="13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ht="13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ht="13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ht="13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ht="13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ht="13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ht="13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ht="13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ht="13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ht="13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ht="13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ht="13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ht="13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ht="13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ht="13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ht="13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ht="13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ht="13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ht="13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ht="13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ht="13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ht="13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ht="13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ht="13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ht="13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ht="13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ht="13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ht="13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ht="13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ht="13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ht="13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ht="13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ht="13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ht="13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ht="13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ht="13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ht="13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ht="13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ht="13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ht="13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ht="13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ht="13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ht="13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ht="13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ht="13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ht="13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ht="13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ht="13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ht="13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ht="13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ht="13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ht="13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ht="13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ht="13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ht="13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ht="13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ht="13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ht="13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ht="13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ht="13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ht="13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ht="13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ht="13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ht="13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ht="13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ht="13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ht="13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ht="13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ht="13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ht="13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ht="13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ht="13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ht="13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ht="13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ht="13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ht="13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ht="13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ht="13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ht="13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ht="13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ht="13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ht="13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ht="13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ht="13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ht="13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ht="13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ht="13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ht="13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ht="13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ht="13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ht="13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ht="13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ht="13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ht="13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ht="13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ht="13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ht="13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ht="13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ht="13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ht="13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ht="13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ht="13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ht="13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ht="13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ht="13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ht="13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ht="13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ht="13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ht="13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ht="13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ht="13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ht="13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ht="13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ht="13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ht="13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ht="13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ht="13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ht="13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ht="13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ht="13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ht="13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ht="13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ht="13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ht="13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ht="13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ht="13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ht="13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ht="13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ht="13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ht="13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ht="13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ht="13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ht="13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ht="13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ht="13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ht="13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ht="13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spans="1:25" ht="13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spans="1:25" ht="13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spans="1:25" ht="13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spans="1:25" ht="13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spans="1:25" ht="13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spans="1:25" ht="13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spans="1:25" ht="13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spans="1:25" ht="13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spans="1:25" ht="13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5" ht="13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spans="1:25" ht="13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spans="1:25" ht="13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spans="1:25" ht="13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spans="1:25" ht="13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spans="1:25" ht="13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spans="1:25" ht="13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spans="1:25" ht="13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spans="1:25" ht="13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spans="1:25" ht="13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spans="1:25" ht="13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spans="1:25" ht="13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spans="1:25" ht="13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spans="1:25" ht="13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spans="1:25" ht="13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spans="1:25" ht="13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spans="1:25" ht="13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spans="1:25" ht="13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spans="1:25" ht="13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spans="1:25" ht="13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spans="1:25" ht="13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spans="1:25" ht="13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spans="1:25" ht="13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spans="1:25" ht="13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spans="1:25" ht="13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  <row r="1001" spans="1:25" ht="13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</row>
    <row r="1002" spans="1:25" ht="13.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</row>
    <row r="1003" spans="1:25" ht="13.2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</row>
    <row r="1004" spans="1:25" ht="13.2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</row>
    <row r="1005" spans="1:25" ht="13.2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59999389629810485"/>
    <outlinePr summaryBelow="0" summaryRight="0"/>
  </sheetPr>
  <dimension ref="A1:AG20"/>
  <sheetViews>
    <sheetView workbookViewId="0">
      <selection activeCell="G14" sqref="G14"/>
    </sheetView>
  </sheetViews>
  <sheetFormatPr defaultColWidth="12.5546875" defaultRowHeight="15.75" customHeight="1"/>
  <sheetData>
    <row r="1" spans="1:33">
      <c r="A1" s="19" t="s">
        <v>25</v>
      </c>
    </row>
    <row r="3" spans="1:33" s="226" customFormat="1">
      <c r="A3" s="224" t="s">
        <v>26</v>
      </c>
    </row>
    <row r="4" spans="1:33">
      <c r="A4" s="221" t="s">
        <v>27</v>
      </c>
      <c r="B4" s="221" t="s">
        <v>28</v>
      </c>
      <c r="C4" s="221" t="s">
        <v>29</v>
      </c>
      <c r="D4" s="221" t="s">
        <v>30</v>
      </c>
    </row>
    <row r="5" spans="1:33">
      <c r="A5" s="222"/>
      <c r="B5" s="221">
        <v>2010</v>
      </c>
      <c r="C5" s="221">
        <v>2050</v>
      </c>
      <c r="D5" s="221" t="s">
        <v>31</v>
      </c>
    </row>
    <row r="6" spans="1:33">
      <c r="A6" s="221" t="s">
        <v>5</v>
      </c>
      <c r="B6" s="227">
        <v>161573</v>
      </c>
      <c r="C6" s="227">
        <v>189875</v>
      </c>
      <c r="D6" s="279">
        <v>0.17519999999999999</v>
      </c>
    </row>
    <row r="7" spans="1:33">
      <c r="A7" s="222"/>
      <c r="B7" s="279">
        <v>-0.20200000000000001</v>
      </c>
      <c r="C7" s="279">
        <v>-0.23799999999999999</v>
      </c>
      <c r="D7" s="279"/>
    </row>
    <row r="8" spans="1:33">
      <c r="A8" s="221" t="s">
        <v>9</v>
      </c>
      <c r="B8" s="227">
        <v>102506</v>
      </c>
      <c r="C8" s="227">
        <v>117295</v>
      </c>
      <c r="D8" s="279">
        <v>0.14430000000000001</v>
      </c>
    </row>
    <row r="9" spans="1:33">
      <c r="A9" s="222"/>
      <c r="B9" s="279">
        <v>-0.128</v>
      </c>
      <c r="C9" s="279">
        <v>-0.14699999999999999</v>
      </c>
      <c r="D9" s="279"/>
    </row>
    <row r="10" spans="1:33">
      <c r="A10" s="221" t="s">
        <v>10</v>
      </c>
      <c r="B10" s="227">
        <v>535153</v>
      </c>
      <c r="C10" s="227">
        <v>490819</v>
      </c>
      <c r="D10" s="279">
        <v>-8.2799999999999999E-2</v>
      </c>
    </row>
    <row r="11" spans="1:33">
      <c r="A11" s="222"/>
      <c r="B11" s="279">
        <v>-0.67</v>
      </c>
      <c r="C11" s="279">
        <v>-0.61499999999999999</v>
      </c>
      <c r="D11" s="279"/>
    </row>
    <row r="12" spans="1:33">
      <c r="A12" s="221" t="s">
        <v>32</v>
      </c>
      <c r="B12" s="227">
        <v>799232</v>
      </c>
      <c r="C12" s="227">
        <v>797989</v>
      </c>
      <c r="D12" s="279">
        <v>-1.6000000000000001E-3</v>
      </c>
    </row>
    <row r="13" spans="1:33">
      <c r="A13" s="140" t="s">
        <v>33</v>
      </c>
    </row>
    <row r="15" spans="1:33" s="222" customFormat="1">
      <c r="A15" s="236" t="s">
        <v>27</v>
      </c>
      <c r="B15" s="236" t="s">
        <v>4</v>
      </c>
      <c r="C15" s="236" t="s">
        <v>34</v>
      </c>
      <c r="D15" s="235">
        <v>2021</v>
      </c>
      <c r="E15" s="235">
        <v>2022</v>
      </c>
      <c r="F15" s="235">
        <v>2023</v>
      </c>
      <c r="G15" s="235">
        <v>2024</v>
      </c>
      <c r="H15" s="235">
        <v>2025</v>
      </c>
      <c r="I15" s="235">
        <v>2026</v>
      </c>
      <c r="J15" s="235">
        <v>2027</v>
      </c>
      <c r="K15" s="235">
        <v>2028</v>
      </c>
      <c r="L15" s="235">
        <v>2029</v>
      </c>
      <c r="M15" s="235">
        <v>2030</v>
      </c>
      <c r="N15" s="235">
        <v>2031</v>
      </c>
      <c r="O15" s="235">
        <v>2032</v>
      </c>
      <c r="P15" s="235">
        <v>2033</v>
      </c>
      <c r="Q15" s="235">
        <v>2034</v>
      </c>
      <c r="R15" s="235">
        <v>2035</v>
      </c>
      <c r="S15" s="235">
        <v>2036</v>
      </c>
      <c r="T15" s="235">
        <v>2037</v>
      </c>
      <c r="U15" s="235">
        <v>2038</v>
      </c>
      <c r="V15" s="235">
        <v>2039</v>
      </c>
      <c r="W15" s="235">
        <v>2040</v>
      </c>
      <c r="X15" s="235">
        <v>2041</v>
      </c>
      <c r="Y15" s="235">
        <v>2042</v>
      </c>
      <c r="Z15" s="235">
        <v>2043</v>
      </c>
      <c r="AA15" s="235">
        <v>2044</v>
      </c>
      <c r="AB15" s="235">
        <v>2045</v>
      </c>
      <c r="AC15" s="235">
        <v>2046</v>
      </c>
      <c r="AD15" s="235">
        <v>2047</v>
      </c>
      <c r="AE15" s="235">
        <v>2048</v>
      </c>
      <c r="AF15" s="235">
        <v>2049</v>
      </c>
      <c r="AG15" s="235">
        <v>2050</v>
      </c>
    </row>
    <row r="16" spans="1:33" s="222" customFormat="1">
      <c r="A16" s="236" t="s">
        <v>5</v>
      </c>
      <c r="B16" s="236" t="s">
        <v>35</v>
      </c>
      <c r="C16" s="236"/>
      <c r="D16" s="243">
        <f ca="1">IFERROR(__xludf.DUMMYFUNCTION("Vlookup(A16, IMPORTRANGE(""https://docs.google.com/spreadsheets/d/1ImT8ZpJHesursP2VpI6r4uL5tBrVJErh28Cy8dFoAMk"",""'Census_data'!A2:C89""),3)"),167043)</f>
        <v>167043</v>
      </c>
      <c r="E16" s="243">
        <f t="shared" ref="E16:AF16" ca="1" si="0">($AG16-$D16)/($AG$15-$D$15)+D16</f>
        <v>167830.31034482759</v>
      </c>
      <c r="F16" s="243">
        <f t="shared" ca="1" si="0"/>
        <v>168617.62068965519</v>
      </c>
      <c r="G16" s="243">
        <f t="shared" ca="1" si="0"/>
        <v>169404.93103448278</v>
      </c>
      <c r="H16" s="243">
        <f t="shared" ca="1" si="0"/>
        <v>170192.24137931038</v>
      </c>
      <c r="I16" s="243">
        <f t="shared" ca="1" si="0"/>
        <v>170979.55172413797</v>
      </c>
      <c r="J16" s="243">
        <f t="shared" ca="1" si="0"/>
        <v>171766.86206896557</v>
      </c>
      <c r="K16" s="243">
        <f t="shared" ca="1" si="0"/>
        <v>172554.17241379316</v>
      </c>
      <c r="L16" s="243">
        <f t="shared" ca="1" si="0"/>
        <v>173341.48275862075</v>
      </c>
      <c r="M16" s="243">
        <f t="shared" ca="1" si="0"/>
        <v>174128.79310344835</v>
      </c>
      <c r="N16" s="243">
        <f t="shared" ca="1" si="0"/>
        <v>174916.10344827594</v>
      </c>
      <c r="O16" s="243">
        <f t="shared" ca="1" si="0"/>
        <v>175703.41379310354</v>
      </c>
      <c r="P16" s="243">
        <f t="shared" ca="1" si="0"/>
        <v>176490.72413793113</v>
      </c>
      <c r="Q16" s="243">
        <f t="shared" ca="1" si="0"/>
        <v>177278.03448275873</v>
      </c>
      <c r="R16" s="243">
        <f t="shared" ca="1" si="0"/>
        <v>178065.34482758632</v>
      </c>
      <c r="S16" s="243">
        <f t="shared" ca="1" si="0"/>
        <v>178852.65517241391</v>
      </c>
      <c r="T16" s="243">
        <f t="shared" ca="1" si="0"/>
        <v>179639.96551724151</v>
      </c>
      <c r="U16" s="243">
        <f t="shared" ca="1" si="0"/>
        <v>180427.2758620691</v>
      </c>
      <c r="V16" s="243">
        <f t="shared" ca="1" si="0"/>
        <v>181214.5862068967</v>
      </c>
      <c r="W16" s="243">
        <f t="shared" ca="1" si="0"/>
        <v>182001.89655172429</v>
      </c>
      <c r="X16" s="243">
        <f t="shared" ca="1" si="0"/>
        <v>182789.20689655188</v>
      </c>
      <c r="Y16" s="243">
        <f t="shared" ca="1" si="0"/>
        <v>183576.51724137948</v>
      </c>
      <c r="Z16" s="243">
        <f t="shared" ca="1" si="0"/>
        <v>184363.82758620707</v>
      </c>
      <c r="AA16" s="243">
        <f t="shared" ca="1" si="0"/>
        <v>185151.13793103467</v>
      </c>
      <c r="AB16" s="243">
        <f t="shared" ca="1" si="0"/>
        <v>185938.44827586226</v>
      </c>
      <c r="AC16" s="243">
        <f t="shared" ca="1" si="0"/>
        <v>186725.75862068986</v>
      </c>
      <c r="AD16" s="243">
        <f t="shared" ca="1" si="0"/>
        <v>187513.06896551745</v>
      </c>
      <c r="AE16" s="243">
        <f t="shared" ca="1" si="0"/>
        <v>188300.37931034504</v>
      </c>
      <c r="AF16" s="243">
        <f t="shared" ca="1" si="0"/>
        <v>189087.68965517264</v>
      </c>
      <c r="AG16" s="243">
        <f>C6</f>
        <v>189875</v>
      </c>
    </row>
    <row r="17" spans="1:33" s="222" customFormat="1">
      <c r="A17" s="221" t="s">
        <v>9</v>
      </c>
      <c r="D17" s="243">
        <f ca="1">IFERROR(__xludf.DUMMYFUNCTION("Vlookup(A17, IMPORTRANGE(""https://docs.google.com/spreadsheets/d/1ImT8ZpJHesursP2VpI6r4uL5tBrVJErh28Cy8dFoAMk"",""'Census_data'!A2:C89""),3)"),107899)</f>
        <v>107899</v>
      </c>
      <c r="E17" s="243">
        <f t="shared" ref="E17:AF17" ca="1" si="1">($AG17-$D17)/($AG$15-$D$15)+D17</f>
        <v>108223</v>
      </c>
      <c r="F17" s="243">
        <f t="shared" ca="1" si="1"/>
        <v>108547</v>
      </c>
      <c r="G17" s="243">
        <f t="shared" ca="1" si="1"/>
        <v>108871</v>
      </c>
      <c r="H17" s="243">
        <f t="shared" ca="1" si="1"/>
        <v>109195</v>
      </c>
      <c r="I17" s="243">
        <f t="shared" ca="1" si="1"/>
        <v>109519</v>
      </c>
      <c r="J17" s="243">
        <f t="shared" ca="1" si="1"/>
        <v>109843</v>
      </c>
      <c r="K17" s="243">
        <f t="shared" ca="1" si="1"/>
        <v>110167</v>
      </c>
      <c r="L17" s="243">
        <f t="shared" ca="1" si="1"/>
        <v>110491</v>
      </c>
      <c r="M17" s="243">
        <f t="shared" ca="1" si="1"/>
        <v>110815</v>
      </c>
      <c r="N17" s="243">
        <f t="shared" ca="1" si="1"/>
        <v>111139</v>
      </c>
      <c r="O17" s="243">
        <f t="shared" ca="1" si="1"/>
        <v>111463</v>
      </c>
      <c r="P17" s="243">
        <f t="shared" ca="1" si="1"/>
        <v>111787</v>
      </c>
      <c r="Q17" s="243">
        <f t="shared" ca="1" si="1"/>
        <v>112111</v>
      </c>
      <c r="R17" s="243">
        <f t="shared" ca="1" si="1"/>
        <v>112435</v>
      </c>
      <c r="S17" s="243">
        <f t="shared" ca="1" si="1"/>
        <v>112759</v>
      </c>
      <c r="T17" s="243">
        <f t="shared" ca="1" si="1"/>
        <v>113083</v>
      </c>
      <c r="U17" s="243">
        <f t="shared" ca="1" si="1"/>
        <v>113407</v>
      </c>
      <c r="V17" s="243">
        <f t="shared" ca="1" si="1"/>
        <v>113731</v>
      </c>
      <c r="W17" s="243">
        <f t="shared" ca="1" si="1"/>
        <v>114055</v>
      </c>
      <c r="X17" s="243">
        <f t="shared" ca="1" si="1"/>
        <v>114379</v>
      </c>
      <c r="Y17" s="243">
        <f t="shared" ca="1" si="1"/>
        <v>114703</v>
      </c>
      <c r="Z17" s="243">
        <f t="shared" ca="1" si="1"/>
        <v>115027</v>
      </c>
      <c r="AA17" s="243">
        <f t="shared" ca="1" si="1"/>
        <v>115351</v>
      </c>
      <c r="AB17" s="243">
        <f t="shared" ca="1" si="1"/>
        <v>115675</v>
      </c>
      <c r="AC17" s="243">
        <f t="shared" ca="1" si="1"/>
        <v>115999</v>
      </c>
      <c r="AD17" s="243">
        <f t="shared" ca="1" si="1"/>
        <v>116323</v>
      </c>
      <c r="AE17" s="243">
        <f t="shared" ca="1" si="1"/>
        <v>116647</v>
      </c>
      <c r="AF17" s="243">
        <f t="shared" ca="1" si="1"/>
        <v>116971</v>
      </c>
      <c r="AG17" s="243">
        <f>C8</f>
        <v>117295</v>
      </c>
    </row>
    <row r="18" spans="1:33" s="222" customFormat="1">
      <c r="A18" s="221" t="s">
        <v>10</v>
      </c>
      <c r="D18" s="243">
        <f ca="1">IFERROR(__xludf.DUMMYFUNCTION("Vlookup(A18, IMPORTRANGE(""https://docs.google.com/spreadsheets/d/1ImT8ZpJHesursP2VpI6r4uL5tBrVJErh28Cy8dFoAMk"",""'Census_data'!A2:C89""),3)"),536136)</f>
        <v>536136</v>
      </c>
      <c r="E18" s="243">
        <f t="shared" ref="E18:AF18" ca="1" si="2">($AG18-$D18)/($AG$15-$D$15)+D18</f>
        <v>534573.3448275862</v>
      </c>
      <c r="F18" s="243">
        <f t="shared" ca="1" si="2"/>
        <v>533010.68965517241</v>
      </c>
      <c r="G18" s="243">
        <f t="shared" ca="1" si="2"/>
        <v>531448.03448275861</v>
      </c>
      <c r="H18" s="243">
        <f t="shared" ca="1" si="2"/>
        <v>529885.37931034481</v>
      </c>
      <c r="I18" s="243">
        <f t="shared" ca="1" si="2"/>
        <v>528322.72413793101</v>
      </c>
      <c r="J18" s="243">
        <f t="shared" ca="1" si="2"/>
        <v>526760.06896551722</v>
      </c>
      <c r="K18" s="243">
        <f t="shared" ca="1" si="2"/>
        <v>525197.41379310342</v>
      </c>
      <c r="L18" s="243">
        <f t="shared" ca="1" si="2"/>
        <v>523634.75862068962</v>
      </c>
      <c r="M18" s="243">
        <f t="shared" ca="1" si="2"/>
        <v>522072.10344827583</v>
      </c>
      <c r="N18" s="243">
        <f t="shared" ca="1" si="2"/>
        <v>520509.44827586203</v>
      </c>
      <c r="O18" s="243">
        <f t="shared" ca="1" si="2"/>
        <v>518946.79310344823</v>
      </c>
      <c r="P18" s="243">
        <f t="shared" ca="1" si="2"/>
        <v>517384.13793103443</v>
      </c>
      <c r="Q18" s="243">
        <f t="shared" ca="1" si="2"/>
        <v>515821.48275862064</v>
      </c>
      <c r="R18" s="243">
        <f t="shared" ca="1" si="2"/>
        <v>514258.82758620684</v>
      </c>
      <c r="S18" s="243">
        <f t="shared" ca="1" si="2"/>
        <v>512696.17241379304</v>
      </c>
      <c r="T18" s="243">
        <f t="shared" ca="1" si="2"/>
        <v>511133.51724137925</v>
      </c>
      <c r="U18" s="243">
        <f t="shared" ca="1" si="2"/>
        <v>509570.86206896545</v>
      </c>
      <c r="V18" s="243">
        <f t="shared" ca="1" si="2"/>
        <v>508008.20689655165</v>
      </c>
      <c r="W18" s="243">
        <f t="shared" ca="1" si="2"/>
        <v>506445.55172413785</v>
      </c>
      <c r="X18" s="243">
        <f t="shared" ca="1" si="2"/>
        <v>504882.89655172406</v>
      </c>
      <c r="Y18" s="243">
        <f t="shared" ca="1" si="2"/>
        <v>503320.24137931026</v>
      </c>
      <c r="Z18" s="243">
        <f t="shared" ca="1" si="2"/>
        <v>501757.58620689646</v>
      </c>
      <c r="AA18" s="243">
        <f t="shared" ca="1" si="2"/>
        <v>500194.93103448267</v>
      </c>
      <c r="AB18" s="243">
        <f t="shared" ca="1" si="2"/>
        <v>498632.27586206887</v>
      </c>
      <c r="AC18" s="243">
        <f t="shared" ca="1" si="2"/>
        <v>497069.62068965507</v>
      </c>
      <c r="AD18" s="243">
        <f t="shared" ca="1" si="2"/>
        <v>495506.96551724127</v>
      </c>
      <c r="AE18" s="243">
        <f t="shared" ca="1" si="2"/>
        <v>493944.31034482748</v>
      </c>
      <c r="AF18" s="243">
        <f t="shared" ca="1" si="2"/>
        <v>492381.65517241368</v>
      </c>
      <c r="AG18" s="243">
        <f>C10</f>
        <v>490819</v>
      </c>
    </row>
    <row r="19" spans="1:33" s="222" customFormat="1">
      <c r="A19" s="221" t="s">
        <v>36</v>
      </c>
      <c r="B19" s="236"/>
      <c r="C19" s="236"/>
      <c r="D19" s="227">
        <f t="shared" ref="D19:AG19" ca="1" si="3">SUM(D16:D18)</f>
        <v>811078</v>
      </c>
      <c r="E19" s="243">
        <f t="shared" ca="1" si="3"/>
        <v>810626.6551724138</v>
      </c>
      <c r="F19" s="243">
        <f t="shared" ca="1" si="3"/>
        <v>810175.31034482759</v>
      </c>
      <c r="G19" s="243">
        <f t="shared" ca="1" si="3"/>
        <v>809723.96551724139</v>
      </c>
      <c r="H19" s="243">
        <f t="shared" ca="1" si="3"/>
        <v>809272.62068965519</v>
      </c>
      <c r="I19" s="243">
        <f t="shared" ca="1" si="3"/>
        <v>808821.27586206899</v>
      </c>
      <c r="J19" s="243">
        <f t="shared" ca="1" si="3"/>
        <v>808369.93103448278</v>
      </c>
      <c r="K19" s="243">
        <f t="shared" ca="1" si="3"/>
        <v>807918.58620689658</v>
      </c>
      <c r="L19" s="243">
        <f t="shared" ca="1" si="3"/>
        <v>807467.24137931038</v>
      </c>
      <c r="M19" s="243">
        <f t="shared" ca="1" si="3"/>
        <v>807015.89655172417</v>
      </c>
      <c r="N19" s="243">
        <f t="shared" ca="1" si="3"/>
        <v>806564.55172413797</v>
      </c>
      <c r="O19" s="243">
        <f t="shared" ca="1" si="3"/>
        <v>806113.20689655177</v>
      </c>
      <c r="P19" s="243">
        <f t="shared" ca="1" si="3"/>
        <v>805661.86206896557</v>
      </c>
      <c r="Q19" s="243">
        <f t="shared" ca="1" si="3"/>
        <v>805210.51724137936</v>
      </c>
      <c r="R19" s="243">
        <f t="shared" ca="1" si="3"/>
        <v>804759.17241379316</v>
      </c>
      <c r="S19" s="243">
        <f t="shared" ca="1" si="3"/>
        <v>804307.82758620696</v>
      </c>
      <c r="T19" s="243">
        <f t="shared" ca="1" si="3"/>
        <v>803856.48275862075</v>
      </c>
      <c r="U19" s="243">
        <f t="shared" ca="1" si="3"/>
        <v>803405.13793103455</v>
      </c>
      <c r="V19" s="243">
        <f t="shared" ca="1" si="3"/>
        <v>802953.79310344835</v>
      </c>
      <c r="W19" s="243">
        <f t="shared" ca="1" si="3"/>
        <v>802502.44827586215</v>
      </c>
      <c r="X19" s="243">
        <f t="shared" ca="1" si="3"/>
        <v>802051.10344827594</v>
      </c>
      <c r="Y19" s="243">
        <f t="shared" ca="1" si="3"/>
        <v>801599.75862068974</v>
      </c>
      <c r="Z19" s="243">
        <f t="shared" ca="1" si="3"/>
        <v>801148.41379310354</v>
      </c>
      <c r="AA19" s="243">
        <f t="shared" ca="1" si="3"/>
        <v>800697.06896551733</v>
      </c>
      <c r="AB19" s="243">
        <f t="shared" ca="1" si="3"/>
        <v>800245.72413793113</v>
      </c>
      <c r="AC19" s="243">
        <f t="shared" ca="1" si="3"/>
        <v>799794.37931034493</v>
      </c>
      <c r="AD19" s="243">
        <f t="shared" ca="1" si="3"/>
        <v>799343.03448275873</v>
      </c>
      <c r="AE19" s="243">
        <f t="shared" ca="1" si="3"/>
        <v>798891.68965517252</v>
      </c>
      <c r="AF19" s="243">
        <f t="shared" ca="1" si="3"/>
        <v>798440.34482758632</v>
      </c>
      <c r="AG19" s="243">
        <f t="shared" si="3"/>
        <v>797989</v>
      </c>
    </row>
    <row r="20" spans="1:33" s="275" customFormat="1">
      <c r="A20" s="273" t="s">
        <v>37</v>
      </c>
      <c r="E20" s="280">
        <f t="shared" ref="E20:AG20" ca="1" si="4">(E19-D19)/D19</f>
        <v>-5.5647524354772643E-4</v>
      </c>
      <c r="F20" s="280">
        <f t="shared" ca="1" si="4"/>
        <v>-5.5678508066109105E-4</v>
      </c>
      <c r="G20" s="280">
        <f t="shared" ca="1" si="4"/>
        <v>-5.5709526299203198E-4</v>
      </c>
      <c r="H20" s="280">
        <f t="shared" ca="1" si="4"/>
        <v>-5.5740579111782811E-4</v>
      </c>
      <c r="I20" s="280">
        <f t="shared" ca="1" si="4"/>
        <v>-5.5771666561704595E-4</v>
      </c>
      <c r="J20" s="280">
        <f t="shared" ca="1" si="4"/>
        <v>-5.5802788706954369E-4</v>
      </c>
      <c r="K20" s="280">
        <f t="shared" ca="1" si="4"/>
        <v>-5.5833945605647441E-4</v>
      </c>
      <c r="L20" s="280">
        <f t="shared" ca="1" si="4"/>
        <v>-5.5865137316028996E-4</v>
      </c>
      <c r="M20" s="280">
        <f t="shared" ca="1" si="4"/>
        <v>-5.5896363896474428E-4</v>
      </c>
      <c r="N20" s="280">
        <f t="shared" ca="1" si="4"/>
        <v>-5.5927625405489739E-4</v>
      </c>
      <c r="O20" s="280">
        <f t="shared" ca="1" si="4"/>
        <v>-5.5958921901711877E-4</v>
      </c>
      <c r="P20" s="280">
        <f t="shared" ca="1" si="4"/>
        <v>-5.5990253443909132E-4</v>
      </c>
      <c r="Q20" s="280">
        <f t="shared" ca="1" si="4"/>
        <v>-5.6021620090981449E-4</v>
      </c>
      <c r="R20" s="280">
        <f t="shared" ca="1" si="4"/>
        <v>-5.6053021901960882E-4</v>
      </c>
      <c r="S20" s="280">
        <f t="shared" ca="1" si="4"/>
        <v>-5.6084458936011877E-4</v>
      </c>
      <c r="T20" s="280">
        <f t="shared" ca="1" si="4"/>
        <v>-5.6115931252431717E-4</v>
      </c>
      <c r="U20" s="280">
        <f t="shared" ca="1" si="4"/>
        <v>-5.6147438910650815E-4</v>
      </c>
      <c r="V20" s="280">
        <f t="shared" ca="1" si="4"/>
        <v>-5.6178981970233177E-4</v>
      </c>
      <c r="W20" s="280">
        <f t="shared" ca="1" si="4"/>
        <v>-5.6210560490876709E-4</v>
      </c>
      <c r="X20" s="280">
        <f t="shared" ca="1" si="4"/>
        <v>-5.6242174532413641E-4</v>
      </c>
      <c r="Y20" s="280">
        <f t="shared" ca="1" si="4"/>
        <v>-5.6273824154810857E-4</v>
      </c>
      <c r="Z20" s="280">
        <f t="shared" ca="1" si="4"/>
        <v>-5.6305509418170304E-4</v>
      </c>
      <c r="AA20" s="280">
        <f t="shared" ca="1" si="4"/>
        <v>-5.6337230382729386E-4</v>
      </c>
      <c r="AB20" s="280">
        <f t="shared" ca="1" si="4"/>
        <v>-5.6368987108861316E-4</v>
      </c>
      <c r="AC20" s="280">
        <f t="shared" ca="1" si="4"/>
        <v>-5.6400779657075515E-4</v>
      </c>
      <c r="AD20" s="280">
        <f t="shared" ca="1" si="4"/>
        <v>-5.6432608088017981E-4</v>
      </c>
      <c r="AE20" s="280">
        <f t="shared" ca="1" si="4"/>
        <v>-5.6464472462471689E-4</v>
      </c>
      <c r="AF20" s="280">
        <f t="shared" ca="1" si="4"/>
        <v>-5.6496372841356994E-4</v>
      </c>
      <c r="AG20" s="280">
        <f t="shared" ca="1" si="4"/>
        <v>-5.6528309285746551E-4</v>
      </c>
    </row>
  </sheetData>
  <hyperlinks>
    <hyperlink ref="A1" r:id="rId1" xr:uid="{00000000-0004-0000-0100-000000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  <outlinePr summaryBelow="0" summaryRight="0"/>
  </sheetPr>
  <dimension ref="A1:AG166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2.5546875" defaultRowHeight="15.75" customHeight="1"/>
  <cols>
    <col min="2" max="2" width="16.44140625" customWidth="1"/>
    <col min="3" max="5" width="13.88671875" bestFit="1" customWidth="1"/>
  </cols>
  <sheetData>
    <row r="1" spans="1:33">
      <c r="A1" s="20" t="s">
        <v>38</v>
      </c>
    </row>
    <row r="2" spans="1:33">
      <c r="A2" s="2"/>
      <c r="B2" s="2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</row>
    <row r="3" spans="1:33">
      <c r="A3" s="2" t="s">
        <v>4</v>
      </c>
      <c r="B3" s="2" t="s">
        <v>39</v>
      </c>
      <c r="C3" s="23">
        <v>2021</v>
      </c>
      <c r="D3" s="23">
        <v>2022</v>
      </c>
      <c r="E3" s="23">
        <v>2023</v>
      </c>
      <c r="F3" s="23">
        <v>2024</v>
      </c>
      <c r="G3" s="23">
        <v>2025</v>
      </c>
      <c r="H3" s="23">
        <v>2026</v>
      </c>
      <c r="I3" s="23">
        <v>2027</v>
      </c>
      <c r="J3" s="23">
        <v>2028</v>
      </c>
      <c r="K3" s="23">
        <v>2029</v>
      </c>
      <c r="L3" s="23">
        <v>2030</v>
      </c>
      <c r="M3" s="23">
        <v>2031</v>
      </c>
      <c r="N3" s="23">
        <v>2032</v>
      </c>
      <c r="O3" s="23">
        <v>2033</v>
      </c>
      <c r="P3" s="23">
        <v>2034</v>
      </c>
      <c r="Q3" s="23">
        <v>2035</v>
      </c>
      <c r="R3" s="23">
        <v>2036</v>
      </c>
      <c r="S3" s="23">
        <v>2037</v>
      </c>
      <c r="T3" s="23">
        <v>2038</v>
      </c>
      <c r="U3" s="23">
        <v>2039</v>
      </c>
      <c r="V3" s="23">
        <v>2040</v>
      </c>
      <c r="W3" s="23">
        <v>2041</v>
      </c>
      <c r="X3" s="23">
        <v>2042</v>
      </c>
      <c r="Y3" s="23">
        <v>2043</v>
      </c>
      <c r="Z3" s="23">
        <v>2044</v>
      </c>
      <c r="AA3" s="23">
        <v>2045</v>
      </c>
      <c r="AB3" s="23">
        <v>2046</v>
      </c>
      <c r="AC3" s="23">
        <v>2047</v>
      </c>
      <c r="AD3" s="23">
        <v>2048</v>
      </c>
      <c r="AE3" s="23">
        <v>2049</v>
      </c>
      <c r="AF3" s="23">
        <v>2050</v>
      </c>
      <c r="AG3" s="23" t="s">
        <v>40</v>
      </c>
    </row>
    <row r="4" spans="1:33">
      <c r="A4" s="2" t="s">
        <v>41</v>
      </c>
      <c r="B4" s="2" t="s">
        <v>42</v>
      </c>
      <c r="C4" s="21">
        <v>11676</v>
      </c>
      <c r="D4" s="21">
        <v>11658</v>
      </c>
      <c r="E4" s="21">
        <v>11641</v>
      </c>
      <c r="F4" s="21">
        <v>11623</v>
      </c>
      <c r="G4" s="21">
        <v>11606</v>
      </c>
      <c r="H4" s="21">
        <v>11595</v>
      </c>
      <c r="I4" s="21">
        <v>11584</v>
      </c>
      <c r="J4" s="21">
        <v>11573</v>
      </c>
      <c r="K4" s="21">
        <v>11562</v>
      </c>
      <c r="L4" s="21">
        <v>11551</v>
      </c>
      <c r="M4" s="21">
        <v>11611</v>
      </c>
      <c r="N4" s="21">
        <v>11671</v>
      </c>
      <c r="O4" s="21">
        <v>11731</v>
      </c>
      <c r="P4" s="21">
        <v>11791</v>
      </c>
      <c r="Q4" s="21">
        <v>11851</v>
      </c>
      <c r="R4" s="21">
        <v>11911</v>
      </c>
      <c r="S4" s="21">
        <v>11971</v>
      </c>
      <c r="T4" s="21">
        <v>12031</v>
      </c>
      <c r="U4" s="21">
        <v>12091</v>
      </c>
      <c r="V4" s="21">
        <v>12151</v>
      </c>
      <c r="W4" s="21">
        <v>12211</v>
      </c>
      <c r="X4" s="21">
        <v>12271</v>
      </c>
      <c r="Y4" s="21">
        <v>12331</v>
      </c>
      <c r="Z4" s="21">
        <v>12391</v>
      </c>
      <c r="AA4" s="21">
        <v>12451</v>
      </c>
      <c r="AB4" s="21">
        <v>12511</v>
      </c>
      <c r="AC4" s="21">
        <v>12571</v>
      </c>
      <c r="AD4" s="21">
        <v>12631</v>
      </c>
      <c r="AE4" s="21">
        <v>12691</v>
      </c>
      <c r="AF4" s="21">
        <v>12751</v>
      </c>
      <c r="AG4" s="25">
        <f t="shared" ref="AG4:AG17" si="0">AF4/C4</f>
        <v>1.092069201781432</v>
      </c>
    </row>
    <row r="5" spans="1:33">
      <c r="A5" s="2" t="s">
        <v>43</v>
      </c>
      <c r="B5" s="2" t="s">
        <v>44</v>
      </c>
      <c r="C5" s="21">
        <v>53610358873</v>
      </c>
      <c r="D5" s="21">
        <v>51488338140</v>
      </c>
      <c r="E5" s="21">
        <v>53588589992</v>
      </c>
      <c r="F5" s="21">
        <v>53954938397</v>
      </c>
      <c r="G5" s="21">
        <v>54233402028</v>
      </c>
      <c r="H5" s="21">
        <v>54415807440</v>
      </c>
      <c r="I5" s="21">
        <v>54544235741</v>
      </c>
      <c r="J5" s="21">
        <v>54674929948</v>
      </c>
      <c r="K5" s="21">
        <v>54827554885</v>
      </c>
      <c r="L5" s="21">
        <v>54870849870</v>
      </c>
      <c r="M5" s="21">
        <v>54915844284</v>
      </c>
      <c r="N5" s="21">
        <v>55011578802</v>
      </c>
      <c r="O5" s="21">
        <v>55171891633</v>
      </c>
      <c r="P5" s="21">
        <v>55388852108</v>
      </c>
      <c r="Q5" s="21">
        <v>55648217391</v>
      </c>
      <c r="R5" s="21">
        <v>55919154978</v>
      </c>
      <c r="S5" s="21">
        <v>56231445345</v>
      </c>
      <c r="T5" s="21">
        <v>56542036283</v>
      </c>
      <c r="U5" s="21">
        <v>56845101177</v>
      </c>
      <c r="V5" s="21">
        <v>57102928881</v>
      </c>
      <c r="W5" s="21">
        <v>57340525283</v>
      </c>
      <c r="X5" s="21">
        <v>57624896455</v>
      </c>
      <c r="Y5" s="21">
        <v>57942770661</v>
      </c>
      <c r="Z5" s="21">
        <v>58301673946</v>
      </c>
      <c r="AA5" s="21">
        <v>58679756505</v>
      </c>
      <c r="AB5" s="21">
        <v>59076209086</v>
      </c>
      <c r="AC5" s="21">
        <v>59476384226</v>
      </c>
      <c r="AD5" s="21">
        <v>59915808090</v>
      </c>
      <c r="AE5" s="21">
        <v>60395937333</v>
      </c>
      <c r="AF5" s="21">
        <v>60914991599</v>
      </c>
      <c r="AG5" s="25">
        <f t="shared" si="0"/>
        <v>1.1362541284848378</v>
      </c>
    </row>
    <row r="6" spans="1:33">
      <c r="A6" s="2"/>
      <c r="B6" s="2" t="s">
        <v>14</v>
      </c>
      <c r="C6" s="21">
        <v>275622</v>
      </c>
      <c r="D6" s="21">
        <v>265663</v>
      </c>
      <c r="E6" s="21">
        <v>291795</v>
      </c>
      <c r="F6" s="21">
        <v>292904</v>
      </c>
      <c r="G6" s="21">
        <v>293349</v>
      </c>
      <c r="H6" s="21">
        <v>292446</v>
      </c>
      <c r="I6" s="21">
        <v>290895</v>
      </c>
      <c r="J6" s="21">
        <v>288945</v>
      </c>
      <c r="K6" s="21">
        <v>286660</v>
      </c>
      <c r="L6" s="21">
        <v>284644</v>
      </c>
      <c r="M6" s="21">
        <v>282749</v>
      </c>
      <c r="N6" s="21">
        <v>281110</v>
      </c>
      <c r="O6" s="21">
        <v>279431</v>
      </c>
      <c r="P6" s="21">
        <v>277950</v>
      </c>
      <c r="Q6" s="21">
        <v>276730</v>
      </c>
      <c r="R6" s="21">
        <v>275574</v>
      </c>
      <c r="S6" s="21">
        <v>274348</v>
      </c>
      <c r="T6" s="21">
        <v>273117</v>
      </c>
      <c r="U6" s="21">
        <v>271933</v>
      </c>
      <c r="V6" s="21">
        <v>270829</v>
      </c>
      <c r="W6" s="21">
        <v>269761</v>
      </c>
      <c r="X6" s="21">
        <v>268716</v>
      </c>
      <c r="Y6" s="21">
        <v>267675</v>
      </c>
      <c r="Z6" s="21">
        <v>266770</v>
      </c>
      <c r="AA6" s="21">
        <v>265805</v>
      </c>
      <c r="AB6" s="21">
        <v>264804</v>
      </c>
      <c r="AC6" s="21">
        <v>263762</v>
      </c>
      <c r="AD6" s="21">
        <v>262698</v>
      </c>
      <c r="AE6" s="21">
        <v>261589</v>
      </c>
      <c r="AF6" s="21">
        <v>260450</v>
      </c>
      <c r="AG6" s="25">
        <f t="shared" si="0"/>
        <v>0.94495359586680305</v>
      </c>
    </row>
    <row r="7" spans="1:33">
      <c r="A7" s="2" t="s">
        <v>45</v>
      </c>
      <c r="B7" s="2" t="s">
        <v>44</v>
      </c>
      <c r="C7" s="21">
        <v>44808128396</v>
      </c>
      <c r="D7" s="21">
        <v>45017705513</v>
      </c>
      <c r="E7" s="21">
        <v>45249584460</v>
      </c>
      <c r="F7" s="21">
        <v>45220374320</v>
      </c>
      <c r="G7" s="21">
        <v>45208209686</v>
      </c>
      <c r="H7" s="21">
        <v>45070719288</v>
      </c>
      <c r="I7" s="21">
        <v>45074699075</v>
      </c>
      <c r="J7" s="21">
        <v>45057278118</v>
      </c>
      <c r="K7" s="21">
        <v>45054875228</v>
      </c>
      <c r="L7" s="21">
        <v>44919487358</v>
      </c>
      <c r="M7" s="21">
        <v>44867599939</v>
      </c>
      <c r="N7" s="21">
        <v>44869327016</v>
      </c>
      <c r="O7" s="21">
        <v>44939761748</v>
      </c>
      <c r="P7" s="21">
        <v>45065462965</v>
      </c>
      <c r="Q7" s="21">
        <v>45219773598</v>
      </c>
      <c r="R7" s="21">
        <v>45377538386</v>
      </c>
      <c r="S7" s="21">
        <v>45550621602</v>
      </c>
      <c r="T7" s="21">
        <v>45737521439</v>
      </c>
      <c r="U7" s="21">
        <v>45898064570</v>
      </c>
      <c r="V7" s="21">
        <v>46022414160</v>
      </c>
      <c r="W7" s="21">
        <v>46203607132</v>
      </c>
      <c r="X7" s="21">
        <v>46434134452</v>
      </c>
      <c r="Y7" s="21">
        <v>46693871912</v>
      </c>
      <c r="Z7" s="21">
        <v>46958415153</v>
      </c>
      <c r="AA7" s="21">
        <v>47248714378</v>
      </c>
      <c r="AB7" s="21">
        <v>47495085758</v>
      </c>
      <c r="AC7" s="21">
        <v>47782681731</v>
      </c>
      <c r="AD7" s="21">
        <v>48075158576</v>
      </c>
      <c r="AE7" s="21">
        <v>48420949556</v>
      </c>
      <c r="AF7" s="21">
        <v>48783485681</v>
      </c>
      <c r="AG7" s="25">
        <f t="shared" si="0"/>
        <v>1.0887195566363999</v>
      </c>
    </row>
    <row r="8" spans="1:33">
      <c r="A8" s="2"/>
      <c r="B8" s="2" t="s">
        <v>14</v>
      </c>
      <c r="C8" s="21">
        <v>180781</v>
      </c>
      <c r="D8" s="21">
        <v>186737</v>
      </c>
      <c r="E8" s="21">
        <v>183913</v>
      </c>
      <c r="F8" s="21">
        <v>184290</v>
      </c>
      <c r="G8" s="21">
        <v>185100</v>
      </c>
      <c r="H8" s="21">
        <v>185248</v>
      </c>
      <c r="I8" s="21">
        <v>186051</v>
      </c>
      <c r="J8" s="21">
        <v>186064</v>
      </c>
      <c r="K8" s="21">
        <v>185432</v>
      </c>
      <c r="L8" s="21">
        <v>184927</v>
      </c>
      <c r="M8" s="21">
        <v>184711</v>
      </c>
      <c r="N8" s="21">
        <v>184743</v>
      </c>
      <c r="O8" s="21">
        <v>184641</v>
      </c>
      <c r="P8" s="21">
        <v>184712</v>
      </c>
      <c r="Q8" s="21">
        <v>185005</v>
      </c>
      <c r="R8" s="21">
        <v>185268</v>
      </c>
      <c r="S8" s="21">
        <v>185337</v>
      </c>
      <c r="T8" s="21">
        <v>185303</v>
      </c>
      <c r="U8" s="21">
        <v>185237</v>
      </c>
      <c r="V8" s="21">
        <v>185167</v>
      </c>
      <c r="W8" s="21">
        <v>185137</v>
      </c>
      <c r="X8" s="21">
        <v>185135</v>
      </c>
      <c r="Y8" s="21">
        <v>185124</v>
      </c>
      <c r="Z8" s="21">
        <v>185226</v>
      </c>
      <c r="AA8" s="21">
        <v>185288</v>
      </c>
      <c r="AB8" s="21">
        <v>185298</v>
      </c>
      <c r="AC8" s="21">
        <v>185255</v>
      </c>
      <c r="AD8" s="21">
        <v>185191</v>
      </c>
      <c r="AE8" s="21">
        <v>185074</v>
      </c>
      <c r="AF8" s="21">
        <v>184919</v>
      </c>
      <c r="AG8" s="25">
        <f t="shared" si="0"/>
        <v>1.0228895735724439</v>
      </c>
    </row>
    <row r="9" spans="1:33">
      <c r="A9" s="2"/>
      <c r="B9" s="2" t="s">
        <v>46</v>
      </c>
      <c r="C9" s="21">
        <v>15142</v>
      </c>
      <c r="D9" s="21">
        <v>15183</v>
      </c>
      <c r="E9" s="21">
        <v>15342</v>
      </c>
      <c r="F9" s="21">
        <v>15349</v>
      </c>
      <c r="G9" s="21">
        <v>15395</v>
      </c>
      <c r="H9" s="21">
        <v>15420</v>
      </c>
      <c r="I9" s="21">
        <v>15473</v>
      </c>
      <c r="J9" s="21">
        <v>15488</v>
      </c>
      <c r="K9" s="21">
        <v>15501</v>
      </c>
      <c r="L9" s="21">
        <v>15489</v>
      </c>
      <c r="M9" s="21">
        <v>15497</v>
      </c>
      <c r="N9" s="21">
        <v>15507</v>
      </c>
      <c r="O9" s="21">
        <v>15531</v>
      </c>
      <c r="P9" s="21">
        <v>15547</v>
      </c>
      <c r="Q9" s="21">
        <v>15573</v>
      </c>
      <c r="R9" s="21">
        <v>15589</v>
      </c>
      <c r="S9" s="21">
        <v>15606</v>
      </c>
      <c r="T9" s="21">
        <v>15614</v>
      </c>
      <c r="U9" s="21">
        <v>15646</v>
      </c>
      <c r="V9" s="21">
        <v>15657</v>
      </c>
      <c r="W9" s="21">
        <v>15679</v>
      </c>
      <c r="X9" s="21">
        <v>15708</v>
      </c>
      <c r="Y9" s="21">
        <v>15720</v>
      </c>
      <c r="Z9" s="21">
        <v>15731</v>
      </c>
      <c r="AA9" s="21">
        <v>15755</v>
      </c>
      <c r="AB9" s="21">
        <v>15768</v>
      </c>
      <c r="AC9" s="21">
        <v>15797</v>
      </c>
      <c r="AD9" s="21">
        <v>15832</v>
      </c>
      <c r="AE9" s="21">
        <v>15864</v>
      </c>
      <c r="AF9" s="21">
        <v>15896</v>
      </c>
      <c r="AG9" s="25">
        <f t="shared" si="0"/>
        <v>1.0497952714304584</v>
      </c>
    </row>
    <row r="10" spans="1:33">
      <c r="A10" s="2"/>
      <c r="B10" s="2" t="s">
        <v>47</v>
      </c>
      <c r="C10" s="21">
        <v>14479</v>
      </c>
      <c r="D10" s="21">
        <v>14938</v>
      </c>
      <c r="E10" s="21">
        <v>15744</v>
      </c>
      <c r="F10" s="21">
        <v>15661</v>
      </c>
      <c r="G10" s="21">
        <v>15600</v>
      </c>
      <c r="H10" s="21">
        <v>15549</v>
      </c>
      <c r="I10" s="21">
        <v>15674</v>
      </c>
      <c r="J10" s="21">
        <v>15701</v>
      </c>
      <c r="K10" s="21">
        <v>15669</v>
      </c>
      <c r="L10" s="21">
        <v>15631</v>
      </c>
      <c r="M10" s="21">
        <v>15578</v>
      </c>
      <c r="N10" s="21">
        <v>15525</v>
      </c>
      <c r="O10" s="21">
        <v>15476</v>
      </c>
      <c r="P10" s="21">
        <v>15439</v>
      </c>
      <c r="Q10" s="21">
        <v>15398</v>
      </c>
      <c r="R10" s="21">
        <v>15348</v>
      </c>
      <c r="S10" s="21">
        <v>15280</v>
      </c>
      <c r="T10" s="21">
        <v>15216</v>
      </c>
      <c r="U10" s="21">
        <v>15165</v>
      </c>
      <c r="V10" s="21">
        <v>15105</v>
      </c>
      <c r="W10" s="21">
        <v>15049</v>
      </c>
      <c r="X10" s="21">
        <v>15006</v>
      </c>
      <c r="Y10" s="21">
        <v>14948</v>
      </c>
      <c r="Z10" s="21">
        <v>14875</v>
      </c>
      <c r="AA10" s="21">
        <v>14808</v>
      </c>
      <c r="AB10" s="21">
        <v>14746</v>
      </c>
      <c r="AC10" s="21">
        <v>14697</v>
      </c>
      <c r="AD10" s="21">
        <v>14663</v>
      </c>
      <c r="AE10" s="21">
        <v>14637</v>
      </c>
      <c r="AF10" s="21">
        <v>14617</v>
      </c>
      <c r="AG10" s="25">
        <f t="shared" si="0"/>
        <v>1.0095310449616686</v>
      </c>
    </row>
    <row r="11" spans="1:33">
      <c r="A11" s="2" t="s">
        <v>48</v>
      </c>
      <c r="B11" s="2" t="s">
        <v>44</v>
      </c>
      <c r="C11" s="21">
        <v>48756095169</v>
      </c>
      <c r="D11" s="21">
        <v>50016612261</v>
      </c>
      <c r="E11" s="21">
        <v>51405007899</v>
      </c>
      <c r="F11" s="21">
        <v>51451220666</v>
      </c>
      <c r="G11" s="21">
        <v>51892680319</v>
      </c>
      <c r="H11" s="21">
        <v>52378107897</v>
      </c>
      <c r="I11" s="21">
        <v>52527505956</v>
      </c>
      <c r="J11" s="21">
        <v>52648649977</v>
      </c>
      <c r="K11" s="21">
        <v>52958515485</v>
      </c>
      <c r="L11" s="21">
        <v>53097231195</v>
      </c>
      <c r="M11" s="21">
        <v>53302905103</v>
      </c>
      <c r="N11" s="21">
        <v>53549605421</v>
      </c>
      <c r="O11" s="21">
        <v>53743435855</v>
      </c>
      <c r="P11" s="21">
        <v>53907696312</v>
      </c>
      <c r="Q11" s="21">
        <v>54112750953</v>
      </c>
      <c r="R11" s="21">
        <v>54318192636</v>
      </c>
      <c r="S11" s="21">
        <v>54645165382</v>
      </c>
      <c r="T11" s="21">
        <v>54921203453</v>
      </c>
      <c r="U11" s="21">
        <v>55145455358</v>
      </c>
      <c r="V11" s="21">
        <v>55312347697</v>
      </c>
      <c r="W11" s="21">
        <v>55602551491</v>
      </c>
      <c r="X11" s="21">
        <v>55975427371</v>
      </c>
      <c r="Y11" s="21">
        <v>56299148968</v>
      </c>
      <c r="Z11" s="21">
        <v>56543604444</v>
      </c>
      <c r="AA11" s="21">
        <v>56820339190</v>
      </c>
      <c r="AB11" s="21">
        <v>57122231640</v>
      </c>
      <c r="AC11" s="21">
        <v>57286259872</v>
      </c>
      <c r="AD11" s="21">
        <v>57370867166</v>
      </c>
      <c r="AE11" s="21">
        <v>57577469974</v>
      </c>
      <c r="AF11" s="21">
        <v>57996636030</v>
      </c>
      <c r="AG11" s="25">
        <f t="shared" si="0"/>
        <v>1.1895258598739322</v>
      </c>
    </row>
    <row r="12" spans="1:33">
      <c r="A12" s="2"/>
      <c r="B12" s="2" t="s">
        <v>14</v>
      </c>
      <c r="C12" s="21">
        <v>326295</v>
      </c>
      <c r="D12" s="21">
        <v>333238</v>
      </c>
      <c r="E12" s="21">
        <v>345372</v>
      </c>
      <c r="F12" s="21">
        <v>345372</v>
      </c>
      <c r="G12" s="21">
        <v>346543</v>
      </c>
      <c r="H12" s="21">
        <v>349797</v>
      </c>
      <c r="I12" s="21">
        <v>348704</v>
      </c>
      <c r="J12" s="21">
        <v>347831</v>
      </c>
      <c r="K12" s="21">
        <v>348297</v>
      </c>
      <c r="L12" s="21">
        <v>348968</v>
      </c>
      <c r="M12" s="21">
        <v>349094</v>
      </c>
      <c r="N12" s="21">
        <v>350457</v>
      </c>
      <c r="O12" s="21">
        <v>350537</v>
      </c>
      <c r="P12" s="21">
        <v>350800</v>
      </c>
      <c r="Q12" s="21">
        <v>352226</v>
      </c>
      <c r="R12" s="21">
        <v>353081</v>
      </c>
      <c r="S12" s="21">
        <v>354438</v>
      </c>
      <c r="T12" s="21">
        <v>356286</v>
      </c>
      <c r="U12" s="21">
        <v>357588</v>
      </c>
      <c r="V12" s="21">
        <v>359322</v>
      </c>
      <c r="W12" s="21">
        <v>361952</v>
      </c>
      <c r="X12" s="21">
        <v>365455</v>
      </c>
      <c r="Y12" s="21">
        <v>369466</v>
      </c>
      <c r="Z12" s="21">
        <v>371562</v>
      </c>
      <c r="AA12" s="21">
        <v>375872</v>
      </c>
      <c r="AB12" s="21">
        <v>378798</v>
      </c>
      <c r="AC12" s="21">
        <v>380407</v>
      </c>
      <c r="AD12" s="21">
        <v>382754</v>
      </c>
      <c r="AE12" s="21">
        <v>385233</v>
      </c>
      <c r="AF12" s="21">
        <v>389571</v>
      </c>
      <c r="AG12" s="25">
        <f t="shared" si="0"/>
        <v>1.1939226773318623</v>
      </c>
    </row>
    <row r="13" spans="1:33">
      <c r="A13" s="2"/>
      <c r="B13" s="2" t="s">
        <v>47</v>
      </c>
      <c r="C13" s="21">
        <v>35747</v>
      </c>
      <c r="D13" s="21">
        <v>36711</v>
      </c>
      <c r="E13" s="21">
        <v>36831</v>
      </c>
      <c r="F13" s="21">
        <v>36834</v>
      </c>
      <c r="G13" s="21">
        <v>37063</v>
      </c>
      <c r="H13" s="21">
        <v>37283</v>
      </c>
      <c r="I13" s="21">
        <v>37280</v>
      </c>
      <c r="J13" s="21">
        <v>37267</v>
      </c>
      <c r="K13" s="21">
        <v>37327</v>
      </c>
      <c r="L13" s="21">
        <v>37462</v>
      </c>
      <c r="M13" s="21">
        <v>37568</v>
      </c>
      <c r="N13" s="21">
        <v>37814</v>
      </c>
      <c r="O13" s="21">
        <v>37943</v>
      </c>
      <c r="P13" s="21">
        <v>38026</v>
      </c>
      <c r="Q13" s="21">
        <v>38156</v>
      </c>
      <c r="R13" s="21">
        <v>38277</v>
      </c>
      <c r="S13" s="21">
        <v>38516</v>
      </c>
      <c r="T13" s="21">
        <v>38811</v>
      </c>
      <c r="U13" s="21">
        <v>39086</v>
      </c>
      <c r="V13" s="21">
        <v>39309</v>
      </c>
      <c r="W13" s="21">
        <v>39516</v>
      </c>
      <c r="X13" s="21">
        <v>39734</v>
      </c>
      <c r="Y13" s="21">
        <v>39930</v>
      </c>
      <c r="Z13" s="21">
        <v>40139</v>
      </c>
      <c r="AA13" s="21">
        <v>40369</v>
      </c>
      <c r="AB13" s="21">
        <v>40602</v>
      </c>
      <c r="AC13" s="21">
        <v>40791</v>
      </c>
      <c r="AD13" s="21">
        <v>40978</v>
      </c>
      <c r="AE13" s="21">
        <v>41212</v>
      </c>
      <c r="AF13" s="21">
        <v>41515</v>
      </c>
      <c r="AG13" s="25">
        <f t="shared" si="0"/>
        <v>1.1613561977228859</v>
      </c>
    </row>
    <row r="14" spans="1:33">
      <c r="A14" s="2"/>
      <c r="B14" s="2" t="s">
        <v>49</v>
      </c>
      <c r="C14" s="21">
        <v>82573</v>
      </c>
      <c r="D14" s="21">
        <v>95186</v>
      </c>
      <c r="E14" s="21">
        <v>97673</v>
      </c>
      <c r="F14" s="21">
        <v>95435</v>
      </c>
      <c r="G14" s="21">
        <v>94496</v>
      </c>
      <c r="H14" s="21">
        <v>96004</v>
      </c>
      <c r="I14" s="21">
        <v>94359</v>
      </c>
      <c r="J14" s="21">
        <v>92753</v>
      </c>
      <c r="K14" s="21">
        <v>91359</v>
      </c>
      <c r="L14" s="21">
        <v>89829</v>
      </c>
      <c r="M14" s="21">
        <v>88582</v>
      </c>
      <c r="N14" s="21">
        <v>88253</v>
      </c>
      <c r="O14" s="21">
        <v>87594</v>
      </c>
      <c r="P14" s="21">
        <v>87440</v>
      </c>
      <c r="Q14" s="21">
        <v>87099</v>
      </c>
      <c r="R14" s="21">
        <v>86992</v>
      </c>
      <c r="S14" s="21">
        <v>87198</v>
      </c>
      <c r="T14" s="21">
        <v>87280</v>
      </c>
      <c r="U14" s="21">
        <v>86541</v>
      </c>
      <c r="V14" s="21">
        <v>85542</v>
      </c>
      <c r="W14" s="21">
        <v>85262</v>
      </c>
      <c r="X14" s="21">
        <v>85141</v>
      </c>
      <c r="Y14" s="21">
        <v>84679</v>
      </c>
      <c r="Z14" s="21">
        <v>83867</v>
      </c>
      <c r="AA14" s="21">
        <v>82789</v>
      </c>
      <c r="AB14" s="21">
        <v>81990</v>
      </c>
      <c r="AC14" s="21">
        <v>80922</v>
      </c>
      <c r="AD14" s="21">
        <v>79118</v>
      </c>
      <c r="AE14" s="21">
        <v>78185</v>
      </c>
      <c r="AF14" s="21">
        <v>78158</v>
      </c>
      <c r="AG14" s="25">
        <f t="shared" si="0"/>
        <v>0.94653215942257152</v>
      </c>
    </row>
    <row r="15" spans="1:33">
      <c r="A15" s="2" t="s">
        <v>50</v>
      </c>
      <c r="B15" s="2" t="s">
        <v>46</v>
      </c>
      <c r="C15" s="21">
        <v>548061</v>
      </c>
      <c r="D15" s="21">
        <v>564043</v>
      </c>
      <c r="E15" s="21">
        <v>574215</v>
      </c>
      <c r="F15" s="21">
        <v>571737</v>
      </c>
      <c r="G15" s="21">
        <v>568583</v>
      </c>
      <c r="H15" s="21">
        <v>564385</v>
      </c>
      <c r="I15" s="21">
        <v>559243</v>
      </c>
      <c r="J15" s="21">
        <v>553761</v>
      </c>
      <c r="K15" s="21">
        <v>548823</v>
      </c>
      <c r="L15" s="21">
        <v>544535</v>
      </c>
      <c r="M15" s="21">
        <v>540585</v>
      </c>
      <c r="N15" s="21">
        <v>536389</v>
      </c>
      <c r="O15" s="21">
        <v>533172</v>
      </c>
      <c r="P15" s="21">
        <v>530169</v>
      </c>
      <c r="Q15" s="21">
        <v>527102</v>
      </c>
      <c r="R15" s="21">
        <v>524422</v>
      </c>
      <c r="S15" s="21">
        <v>522387</v>
      </c>
      <c r="T15" s="21">
        <v>520618</v>
      </c>
      <c r="U15" s="21">
        <v>519360</v>
      </c>
      <c r="V15" s="21">
        <v>518436</v>
      </c>
      <c r="W15" s="21">
        <v>517723</v>
      </c>
      <c r="X15" s="21">
        <v>517293</v>
      </c>
      <c r="Y15" s="21">
        <v>517023</v>
      </c>
      <c r="Z15" s="21">
        <v>517074</v>
      </c>
      <c r="AA15" s="21">
        <v>517482</v>
      </c>
      <c r="AB15" s="21">
        <v>518392</v>
      </c>
      <c r="AC15" s="21">
        <v>519264</v>
      </c>
      <c r="AD15" s="21">
        <v>520175</v>
      </c>
      <c r="AE15" s="21">
        <v>521539</v>
      </c>
      <c r="AF15" s="21">
        <v>523430</v>
      </c>
      <c r="AG15" s="25">
        <f t="shared" si="0"/>
        <v>0.95505792238455212</v>
      </c>
    </row>
    <row r="16" spans="1:33">
      <c r="A16" s="2"/>
      <c r="B16" s="2" t="s">
        <v>51</v>
      </c>
      <c r="C16" s="21">
        <v>241698</v>
      </c>
      <c r="D16" s="21">
        <v>243335</v>
      </c>
      <c r="E16" s="21">
        <v>245909</v>
      </c>
      <c r="F16" s="21">
        <v>243591</v>
      </c>
      <c r="G16" s="21">
        <v>242352</v>
      </c>
      <c r="H16" s="21">
        <v>240644</v>
      </c>
      <c r="I16" s="21">
        <v>238048</v>
      </c>
      <c r="J16" s="21">
        <v>235407</v>
      </c>
      <c r="K16" s="21">
        <v>232627</v>
      </c>
      <c r="L16" s="21">
        <v>229856</v>
      </c>
      <c r="M16" s="21">
        <v>226679</v>
      </c>
      <c r="N16" s="21">
        <v>223985</v>
      </c>
      <c r="O16" s="21">
        <v>221581</v>
      </c>
      <c r="P16" s="21">
        <v>219046</v>
      </c>
      <c r="Q16" s="21">
        <v>216817</v>
      </c>
      <c r="R16" s="21">
        <v>214661</v>
      </c>
      <c r="S16" s="21">
        <v>213046</v>
      </c>
      <c r="T16" s="21">
        <v>211638</v>
      </c>
      <c r="U16" s="21">
        <v>210114</v>
      </c>
      <c r="V16" s="21">
        <v>208854</v>
      </c>
      <c r="W16" s="21">
        <v>207691</v>
      </c>
      <c r="X16" s="21">
        <v>206978</v>
      </c>
      <c r="Y16" s="21">
        <v>206330</v>
      </c>
      <c r="Z16" s="21">
        <v>205532</v>
      </c>
      <c r="AA16" s="21">
        <v>204695</v>
      </c>
      <c r="AB16" s="21">
        <v>204061</v>
      </c>
      <c r="AC16" s="21">
        <v>203098</v>
      </c>
      <c r="AD16" s="21">
        <v>201833</v>
      </c>
      <c r="AE16" s="21">
        <v>200970</v>
      </c>
      <c r="AF16" s="21">
        <v>200529</v>
      </c>
      <c r="AG16" s="25">
        <f t="shared" si="0"/>
        <v>0.82966760171784626</v>
      </c>
    </row>
    <row r="17" spans="1:33">
      <c r="A17" s="2"/>
      <c r="B17" s="2" t="s">
        <v>14</v>
      </c>
      <c r="C17" s="21">
        <v>41778</v>
      </c>
      <c r="D17" s="21">
        <v>41263</v>
      </c>
      <c r="E17" s="21">
        <v>41874</v>
      </c>
      <c r="F17" s="21">
        <v>41983</v>
      </c>
      <c r="G17" s="21">
        <v>41667</v>
      </c>
      <c r="H17" s="21">
        <v>41528</v>
      </c>
      <c r="I17" s="21">
        <v>41498</v>
      </c>
      <c r="J17" s="21">
        <v>42510</v>
      </c>
      <c r="K17" s="21">
        <v>43969</v>
      </c>
      <c r="L17" s="21">
        <v>45009</v>
      </c>
      <c r="M17" s="21">
        <v>46429</v>
      </c>
      <c r="N17" s="21">
        <v>47834</v>
      </c>
      <c r="O17" s="21">
        <v>49283</v>
      </c>
      <c r="P17" s="21">
        <v>50956</v>
      </c>
      <c r="Q17" s="21">
        <v>51724</v>
      </c>
      <c r="R17" s="21">
        <v>52756</v>
      </c>
      <c r="S17" s="21">
        <v>54003</v>
      </c>
      <c r="T17" s="21">
        <v>55066</v>
      </c>
      <c r="U17" s="21">
        <v>56275</v>
      </c>
      <c r="V17" s="21">
        <v>57658</v>
      </c>
      <c r="W17" s="21">
        <v>58833</v>
      </c>
      <c r="X17" s="21">
        <v>59659</v>
      </c>
      <c r="Y17" s="21">
        <v>60761</v>
      </c>
      <c r="Z17" s="21">
        <v>61775</v>
      </c>
      <c r="AA17" s="21">
        <v>62675</v>
      </c>
      <c r="AB17" s="21">
        <v>63695</v>
      </c>
      <c r="AC17" s="21">
        <v>64910</v>
      </c>
      <c r="AD17" s="21">
        <v>66149</v>
      </c>
      <c r="AE17" s="21">
        <v>66982</v>
      </c>
      <c r="AF17" s="21">
        <v>68051</v>
      </c>
      <c r="AG17" s="25">
        <f t="shared" si="0"/>
        <v>1.6288716549380056</v>
      </c>
    </row>
    <row r="18" spans="1:33">
      <c r="B18" s="2" t="s">
        <v>44</v>
      </c>
      <c r="C18" s="21">
        <v>75104292</v>
      </c>
      <c r="D18" s="21">
        <v>102729786</v>
      </c>
      <c r="E18" s="21">
        <v>134644076</v>
      </c>
      <c r="F18" s="21">
        <v>169800134</v>
      </c>
      <c r="G18" s="21">
        <v>207191198</v>
      </c>
      <c r="H18" s="21">
        <v>246837405</v>
      </c>
      <c r="I18" s="21">
        <v>287087668</v>
      </c>
      <c r="J18" s="21">
        <v>327015768</v>
      </c>
      <c r="K18" s="21">
        <v>367205625</v>
      </c>
      <c r="L18" s="21">
        <v>407898862</v>
      </c>
      <c r="M18" s="21">
        <v>448712911</v>
      </c>
      <c r="N18" s="21">
        <v>488822227</v>
      </c>
      <c r="O18" s="21">
        <v>529092625</v>
      </c>
      <c r="P18" s="21">
        <v>569503970</v>
      </c>
      <c r="Q18" s="21">
        <v>609492475</v>
      </c>
      <c r="R18" s="21">
        <v>649480980</v>
      </c>
      <c r="S18" s="21">
        <v>689650702</v>
      </c>
      <c r="T18" s="21">
        <v>729860695</v>
      </c>
      <c r="U18" s="21">
        <v>770050552</v>
      </c>
      <c r="V18" s="21">
        <v>810280680</v>
      </c>
      <c r="W18" s="21">
        <v>849906752</v>
      </c>
      <c r="X18" s="21">
        <v>889170390</v>
      </c>
      <c r="Y18" s="21">
        <v>928715921</v>
      </c>
      <c r="Z18" s="21">
        <v>968825237</v>
      </c>
      <c r="AA18" s="21">
        <v>1008028470</v>
      </c>
      <c r="AB18" s="21">
        <v>1047352513</v>
      </c>
      <c r="AC18" s="21">
        <v>1086132907</v>
      </c>
      <c r="AD18" s="21">
        <v>1124450190</v>
      </c>
      <c r="AE18" s="21">
        <v>1163129908</v>
      </c>
      <c r="AF18" s="21">
        <v>1202292870</v>
      </c>
      <c r="AG18" s="25">
        <f t="shared" ref="AG18:AG19" si="1">AF18/D18</f>
        <v>11.703449572064718</v>
      </c>
    </row>
    <row r="19" spans="1:33">
      <c r="A19" s="20" t="s">
        <v>52</v>
      </c>
      <c r="B19" s="2"/>
      <c r="C19" s="24">
        <f ca="1">'Dayton Kettering MSA Pop'!D19</f>
        <v>811078</v>
      </c>
      <c r="D19" s="24">
        <f ca="1">'Dayton Kettering MSA Pop'!E19</f>
        <v>810626.6551724138</v>
      </c>
      <c r="E19" s="24">
        <f ca="1">'Dayton Kettering MSA Pop'!F19</f>
        <v>810175.31034482759</v>
      </c>
      <c r="F19" s="24">
        <f ca="1">'Dayton Kettering MSA Pop'!G19</f>
        <v>809723.96551724139</v>
      </c>
      <c r="G19" s="24">
        <f ca="1">'Dayton Kettering MSA Pop'!H19</f>
        <v>809272.62068965519</v>
      </c>
      <c r="H19" s="24">
        <f ca="1">'Dayton Kettering MSA Pop'!I19</f>
        <v>808821.27586206899</v>
      </c>
      <c r="I19" s="24">
        <f ca="1">'Dayton Kettering MSA Pop'!J19</f>
        <v>808369.93103448278</v>
      </c>
      <c r="J19" s="24">
        <f ca="1">'Dayton Kettering MSA Pop'!K19</f>
        <v>807918.58620689658</v>
      </c>
      <c r="K19" s="24">
        <f ca="1">'Dayton Kettering MSA Pop'!L19</f>
        <v>807467.24137931038</v>
      </c>
      <c r="L19" s="24">
        <f ca="1">'Dayton Kettering MSA Pop'!M19</f>
        <v>807015.89655172417</v>
      </c>
      <c r="M19" s="24">
        <f ca="1">'Dayton Kettering MSA Pop'!N19</f>
        <v>806564.55172413797</v>
      </c>
      <c r="N19" s="24">
        <f ca="1">'Dayton Kettering MSA Pop'!O19</f>
        <v>806113.20689655177</v>
      </c>
      <c r="O19" s="24">
        <f ca="1">'Dayton Kettering MSA Pop'!P19</f>
        <v>805661.86206896557</v>
      </c>
      <c r="P19" s="24">
        <f ca="1">'Dayton Kettering MSA Pop'!Q19</f>
        <v>805210.51724137936</v>
      </c>
      <c r="Q19" s="24">
        <f ca="1">'Dayton Kettering MSA Pop'!R19</f>
        <v>804759.17241379316</v>
      </c>
      <c r="R19" s="24">
        <f ca="1">'Dayton Kettering MSA Pop'!S19</f>
        <v>804307.82758620696</v>
      </c>
      <c r="S19" s="24">
        <f ca="1">'Dayton Kettering MSA Pop'!T19</f>
        <v>803856.48275862075</v>
      </c>
      <c r="T19" s="24">
        <f ca="1">'Dayton Kettering MSA Pop'!U19</f>
        <v>803405.13793103455</v>
      </c>
      <c r="U19" s="24">
        <f ca="1">'Dayton Kettering MSA Pop'!V19</f>
        <v>802953.79310344835</v>
      </c>
      <c r="V19" s="24">
        <f ca="1">'Dayton Kettering MSA Pop'!W19</f>
        <v>802502.44827586215</v>
      </c>
      <c r="W19" s="24">
        <f ca="1">'Dayton Kettering MSA Pop'!X19</f>
        <v>802051.10344827594</v>
      </c>
      <c r="X19" s="24">
        <f ca="1">'Dayton Kettering MSA Pop'!Y19</f>
        <v>801599.75862068974</v>
      </c>
      <c r="Y19" s="24">
        <f ca="1">'Dayton Kettering MSA Pop'!Z19</f>
        <v>801148.41379310354</v>
      </c>
      <c r="Z19" s="24">
        <f ca="1">'Dayton Kettering MSA Pop'!AA19</f>
        <v>800697.06896551733</v>
      </c>
      <c r="AA19" s="24">
        <f ca="1">'Dayton Kettering MSA Pop'!AB19</f>
        <v>800245.72413793113</v>
      </c>
      <c r="AB19" s="24">
        <f ca="1">'Dayton Kettering MSA Pop'!AC19</f>
        <v>799794.37931034493</v>
      </c>
      <c r="AC19" s="24">
        <f ca="1">'Dayton Kettering MSA Pop'!AD19</f>
        <v>799343.03448275873</v>
      </c>
      <c r="AD19" s="24">
        <f ca="1">'Dayton Kettering MSA Pop'!AE19</f>
        <v>798891.68965517252</v>
      </c>
      <c r="AE19" s="24">
        <f ca="1">'Dayton Kettering MSA Pop'!AF19</f>
        <v>798440.34482758632</v>
      </c>
      <c r="AF19" s="24">
        <f>'Dayton Kettering MSA Pop'!AG19</f>
        <v>797989</v>
      </c>
      <c r="AG19" s="25">
        <f t="shared" ca="1" si="1"/>
        <v>0.98441001774148928</v>
      </c>
    </row>
    <row r="20" spans="1:33">
      <c r="B20" s="2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>
      <c r="B21" s="2" t="s">
        <v>53</v>
      </c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>
      <c r="A22" s="2" t="s">
        <v>43</v>
      </c>
      <c r="B22" s="2" t="s">
        <v>44</v>
      </c>
      <c r="C22" s="26">
        <f t="shared" ref="C22:AF22" si="2">C5/(C$4*1000)</f>
        <v>4591.5004173518328</v>
      </c>
      <c r="D22" s="26">
        <f t="shared" si="2"/>
        <v>4416.567004632012</v>
      </c>
      <c r="E22" s="26">
        <f t="shared" si="2"/>
        <v>4603.435271196633</v>
      </c>
      <c r="F22" s="26">
        <f t="shared" si="2"/>
        <v>4642.0836614471309</v>
      </c>
      <c r="G22" s="26">
        <f t="shared" si="2"/>
        <v>4672.8762733069107</v>
      </c>
      <c r="H22" s="26">
        <f t="shared" si="2"/>
        <v>4693.0407451487708</v>
      </c>
      <c r="I22" s="26">
        <f t="shared" si="2"/>
        <v>4708.5838864813531</v>
      </c>
      <c r="J22" s="26">
        <f t="shared" si="2"/>
        <v>4724.3523674068956</v>
      </c>
      <c r="K22" s="26">
        <f t="shared" si="2"/>
        <v>4742.047646168483</v>
      </c>
      <c r="L22" s="26">
        <f t="shared" si="2"/>
        <v>4750.3116500735869</v>
      </c>
      <c r="M22" s="26">
        <f t="shared" si="2"/>
        <v>4729.6395042631984</v>
      </c>
      <c r="N22" s="26">
        <f t="shared" si="2"/>
        <v>4713.5274442635591</v>
      </c>
      <c r="O22" s="26">
        <f t="shared" si="2"/>
        <v>4703.0851276958483</v>
      </c>
      <c r="P22" s="26">
        <f t="shared" si="2"/>
        <v>4697.553397336952</v>
      </c>
      <c r="Q22" s="26">
        <f t="shared" si="2"/>
        <v>4695.6558426293141</v>
      </c>
      <c r="R22" s="26">
        <f t="shared" si="2"/>
        <v>4694.748969691881</v>
      </c>
      <c r="S22" s="26">
        <f t="shared" si="2"/>
        <v>4697.3056006181605</v>
      </c>
      <c r="T22" s="26">
        <f t="shared" si="2"/>
        <v>4699.6954769345857</v>
      </c>
      <c r="U22" s="26">
        <f t="shared" si="2"/>
        <v>4701.4391842692912</v>
      </c>
      <c r="V22" s="26">
        <f t="shared" si="2"/>
        <v>4699.4427521191674</v>
      </c>
      <c r="W22" s="26">
        <f t="shared" si="2"/>
        <v>4695.8091297191058</v>
      </c>
      <c r="X22" s="26">
        <f t="shared" si="2"/>
        <v>4696.0228551055334</v>
      </c>
      <c r="Y22" s="26">
        <f t="shared" si="2"/>
        <v>4698.9514768469708</v>
      </c>
      <c r="Z22" s="26">
        <f t="shared" si="2"/>
        <v>4705.1629364861592</v>
      </c>
      <c r="AA22" s="26">
        <f t="shared" si="2"/>
        <v>4712.8549116536824</v>
      </c>
      <c r="AB22" s="26">
        <f t="shared" si="2"/>
        <v>4721.9414184317802</v>
      </c>
      <c r="AC22" s="26">
        <f t="shared" si="2"/>
        <v>4731.2373101583007</v>
      </c>
      <c r="AD22" s="26">
        <f t="shared" si="2"/>
        <v>4743.5522199350808</v>
      </c>
      <c r="AE22" s="26">
        <f t="shared" si="2"/>
        <v>4758.9581067685758</v>
      </c>
      <c r="AF22" s="26">
        <f t="shared" si="2"/>
        <v>4777.2717119441613</v>
      </c>
      <c r="AG22" s="25">
        <f t="shared" ref="AG22:AG34" si="3">AF22/C22</f>
        <v>1.0404598230875197</v>
      </c>
    </row>
    <row r="23" spans="1:33">
      <c r="A23" s="2"/>
      <c r="B23" s="2" t="s">
        <v>14</v>
      </c>
      <c r="C23" s="26">
        <f t="shared" ref="C23:AF23" si="4">C6/(C$4*1000)</f>
        <v>2.3605858170606373E-2</v>
      </c>
      <c r="D23" s="26">
        <f t="shared" si="4"/>
        <v>2.2788042545891233E-2</v>
      </c>
      <c r="E23" s="26">
        <f t="shared" si="4"/>
        <v>2.5066145520144318E-2</v>
      </c>
      <c r="F23" s="26">
        <f t="shared" si="4"/>
        <v>2.5200378559752216E-2</v>
      </c>
      <c r="G23" s="26">
        <f t="shared" si="4"/>
        <v>2.5275633293124246E-2</v>
      </c>
      <c r="H23" s="26">
        <f t="shared" si="4"/>
        <v>2.5221733505821475E-2</v>
      </c>
      <c r="I23" s="26">
        <f t="shared" si="4"/>
        <v>2.5111792127071823E-2</v>
      </c>
      <c r="J23" s="26">
        <f t="shared" si="4"/>
        <v>2.4967164952907631E-2</v>
      </c>
      <c r="K23" s="26">
        <f t="shared" si="4"/>
        <v>2.4793288358415499E-2</v>
      </c>
      <c r="L23" s="26">
        <f t="shared" si="4"/>
        <v>2.4642368626092977E-2</v>
      </c>
      <c r="M23" s="26">
        <f t="shared" si="4"/>
        <v>2.4351821548531567E-2</v>
      </c>
      <c r="N23" s="26">
        <f t="shared" si="4"/>
        <v>2.4086196555565077E-2</v>
      </c>
      <c r="O23" s="26">
        <f t="shared" si="4"/>
        <v>2.381987895320092E-2</v>
      </c>
      <c r="P23" s="26">
        <f t="shared" si="4"/>
        <v>2.3573064201509626E-2</v>
      </c>
      <c r="Q23" s="26">
        <f t="shared" si="4"/>
        <v>2.3350772086743736E-2</v>
      </c>
      <c r="R23" s="26">
        <f t="shared" si="4"/>
        <v>2.3136092687431786E-2</v>
      </c>
      <c r="S23" s="26">
        <f t="shared" si="4"/>
        <v>2.2917717818060311E-2</v>
      </c>
      <c r="T23" s="26">
        <f t="shared" si="4"/>
        <v>2.2701105477516414E-2</v>
      </c>
      <c r="U23" s="26">
        <f t="shared" si="4"/>
        <v>2.2490530146389878E-2</v>
      </c>
      <c r="V23" s="26">
        <f t="shared" si="4"/>
        <v>2.2288618220722575E-2</v>
      </c>
      <c r="W23" s="26">
        <f t="shared" si="4"/>
        <v>2.2091638686430267E-2</v>
      </c>
      <c r="X23" s="26">
        <f t="shared" si="4"/>
        <v>2.1898459783228751E-2</v>
      </c>
      <c r="Y23" s="26">
        <f t="shared" si="4"/>
        <v>2.1707485199902683E-2</v>
      </c>
      <c r="Z23" s="26">
        <f t="shared" si="4"/>
        <v>2.1529335808247924E-2</v>
      </c>
      <c r="AA23" s="26">
        <f t="shared" si="4"/>
        <v>2.1348084491205524E-2</v>
      </c>
      <c r="AB23" s="26">
        <f t="shared" si="4"/>
        <v>2.1165694189113581E-2</v>
      </c>
      <c r="AC23" s="26">
        <f t="shared" si="4"/>
        <v>2.0981783469891019E-2</v>
      </c>
      <c r="AD23" s="26">
        <f t="shared" si="4"/>
        <v>2.079787823608582E-2</v>
      </c>
      <c r="AE23" s="26">
        <f t="shared" si="4"/>
        <v>2.061216610196202E-2</v>
      </c>
      <c r="AF23" s="26">
        <f t="shared" si="4"/>
        <v>2.0425848953023292E-2</v>
      </c>
      <c r="AG23" s="25">
        <f t="shared" si="3"/>
        <v>0.86528728612193495</v>
      </c>
    </row>
    <row r="24" spans="1:33">
      <c r="A24" s="2" t="s">
        <v>45</v>
      </c>
      <c r="B24" s="2" t="s">
        <v>44</v>
      </c>
      <c r="C24" s="26">
        <f t="shared" ref="C24:AF24" si="5">C7/(C$4*1000)</f>
        <v>3837.626618362453</v>
      </c>
      <c r="D24" s="26">
        <f t="shared" si="5"/>
        <v>3861.5290369703207</v>
      </c>
      <c r="E24" s="26">
        <f t="shared" si="5"/>
        <v>3887.0874031440599</v>
      </c>
      <c r="F24" s="26">
        <f t="shared" si="5"/>
        <v>3890.5940221973674</v>
      </c>
      <c r="G24" s="26">
        <f t="shared" si="5"/>
        <v>3895.244673961744</v>
      </c>
      <c r="H24" s="26">
        <f t="shared" si="5"/>
        <v>3887.0823016817594</v>
      </c>
      <c r="I24" s="26">
        <f t="shared" si="5"/>
        <v>3891.1169781595304</v>
      </c>
      <c r="J24" s="26">
        <f t="shared" si="5"/>
        <v>3893.3101285751318</v>
      </c>
      <c r="K24" s="26">
        <f t="shared" si="5"/>
        <v>3896.8063681024046</v>
      </c>
      <c r="L24" s="26">
        <f t="shared" si="5"/>
        <v>3888.7964122586791</v>
      </c>
      <c r="M24" s="26">
        <f t="shared" si="5"/>
        <v>3864.2321883558693</v>
      </c>
      <c r="N24" s="26">
        <f t="shared" si="5"/>
        <v>3844.5143531831036</v>
      </c>
      <c r="O24" s="26">
        <f t="shared" si="5"/>
        <v>3830.8551485806838</v>
      </c>
      <c r="P24" s="26">
        <f t="shared" si="5"/>
        <v>3822.0221325587313</v>
      </c>
      <c r="Q24" s="26">
        <f t="shared" si="5"/>
        <v>3815.6926502404858</v>
      </c>
      <c r="R24" s="26">
        <f t="shared" si="5"/>
        <v>3809.7169327512383</v>
      </c>
      <c r="S24" s="26">
        <f t="shared" si="5"/>
        <v>3805.0807453011444</v>
      </c>
      <c r="T24" s="26">
        <f t="shared" si="5"/>
        <v>3801.6392186019448</v>
      </c>
      <c r="U24" s="26">
        <f t="shared" si="5"/>
        <v>3796.0519866016043</v>
      </c>
      <c r="V24" s="26">
        <f t="shared" si="5"/>
        <v>3787.5412854909059</v>
      </c>
      <c r="W24" s="26">
        <f t="shared" si="5"/>
        <v>3783.7693171730407</v>
      </c>
      <c r="X24" s="26">
        <f t="shared" si="5"/>
        <v>3784.0546371118899</v>
      </c>
      <c r="Y24" s="26">
        <f t="shared" si="5"/>
        <v>3786.7060183277918</v>
      </c>
      <c r="Z24" s="26">
        <f t="shared" si="5"/>
        <v>3789.7195668630457</v>
      </c>
      <c r="AA24" s="26">
        <f t="shared" si="5"/>
        <v>3794.7726590635289</v>
      </c>
      <c r="AB24" s="26">
        <f t="shared" si="5"/>
        <v>3796.2661464311404</v>
      </c>
      <c r="AC24" s="26">
        <f t="shared" si="5"/>
        <v>3801.024718081298</v>
      </c>
      <c r="AD24" s="26">
        <f t="shared" si="5"/>
        <v>3806.1245013063099</v>
      </c>
      <c r="AE24" s="26">
        <f t="shared" si="5"/>
        <v>3815.3770038610037</v>
      </c>
      <c r="AF24" s="26">
        <f t="shared" si="5"/>
        <v>3825.8556725746998</v>
      </c>
      <c r="AG24" s="25">
        <f t="shared" si="3"/>
        <v>0.9969327537672813</v>
      </c>
    </row>
    <row r="25" spans="1:33">
      <c r="A25" s="2"/>
      <c r="B25" s="2" t="s">
        <v>14</v>
      </c>
      <c r="C25" s="26">
        <f t="shared" ref="C25:AF25" si="6">C8/(C$4*1000)</f>
        <v>1.5483127783487496E-2</v>
      </c>
      <c r="D25" s="26">
        <f t="shared" si="6"/>
        <v>1.6017927603362497E-2</v>
      </c>
      <c r="E25" s="26">
        <f t="shared" si="6"/>
        <v>1.5798728631560864E-2</v>
      </c>
      <c r="F25" s="26">
        <f t="shared" si="6"/>
        <v>1.5855631076314203E-2</v>
      </c>
      <c r="G25" s="26">
        <f t="shared" si="6"/>
        <v>1.5948647251421678E-2</v>
      </c>
      <c r="H25" s="26">
        <f t="shared" si="6"/>
        <v>1.5976541612764121E-2</v>
      </c>
      <c r="I25" s="26">
        <f t="shared" si="6"/>
        <v>1.6061032458563537E-2</v>
      </c>
      <c r="J25" s="26">
        <f t="shared" si="6"/>
        <v>1.6077421584723063E-2</v>
      </c>
      <c r="K25" s="26">
        <f t="shared" si="6"/>
        <v>1.6038055699705935E-2</v>
      </c>
      <c r="L25" s="26">
        <f t="shared" si="6"/>
        <v>1.600960955761406E-2</v>
      </c>
      <c r="M25" s="26">
        <f t="shared" si="6"/>
        <v>1.5908276634226164E-2</v>
      </c>
      <c r="N25" s="26">
        <f t="shared" si="6"/>
        <v>1.5829234855625055E-2</v>
      </c>
      <c r="O25" s="26">
        <f t="shared" si="6"/>
        <v>1.5739578893529962E-2</v>
      </c>
      <c r="P25" s="26">
        <f t="shared" si="6"/>
        <v>1.5665507590535154E-2</v>
      </c>
      <c r="Q25" s="26">
        <f t="shared" si="6"/>
        <v>1.5610918909796642E-2</v>
      </c>
      <c r="R25" s="26">
        <f t="shared" si="6"/>
        <v>1.5554361514566368E-2</v>
      </c>
      <c r="S25" s="26">
        <f t="shared" si="6"/>
        <v>1.548216523264556E-2</v>
      </c>
      <c r="T25" s="26">
        <f t="shared" si="6"/>
        <v>1.5402127836422575E-2</v>
      </c>
      <c r="U25" s="26">
        <f t="shared" si="6"/>
        <v>1.5320238193697792E-2</v>
      </c>
      <c r="V25" s="26">
        <f t="shared" si="6"/>
        <v>1.5238828079993416E-2</v>
      </c>
      <c r="W25" s="26">
        <f t="shared" si="6"/>
        <v>1.5161493735156826E-2</v>
      </c>
      <c r="X25" s="26">
        <f t="shared" si="6"/>
        <v>1.5087197457419934E-2</v>
      </c>
      <c r="Y25" s="26">
        <f t="shared" si="6"/>
        <v>1.5012894331359987E-2</v>
      </c>
      <c r="Z25" s="26">
        <f t="shared" si="6"/>
        <v>1.4948430312323461E-2</v>
      </c>
      <c r="AA25" s="26">
        <f t="shared" si="6"/>
        <v>1.4881374989960646E-2</v>
      </c>
      <c r="AB25" s="26">
        <f t="shared" si="6"/>
        <v>1.4810806490288547E-2</v>
      </c>
      <c r="AC25" s="26">
        <f t="shared" si="6"/>
        <v>1.4736695569167131E-2</v>
      </c>
      <c r="AD25" s="26">
        <f t="shared" si="6"/>
        <v>1.4661626157865568E-2</v>
      </c>
      <c r="AE25" s="26">
        <f t="shared" si="6"/>
        <v>1.4583090379008746E-2</v>
      </c>
      <c r="AF25" s="26">
        <f t="shared" si="6"/>
        <v>1.4502313544035762E-2</v>
      </c>
      <c r="AG25" s="25">
        <f t="shared" si="3"/>
        <v>0.93665270653531929</v>
      </c>
    </row>
    <row r="26" spans="1:33">
      <c r="A26" s="2"/>
      <c r="B26" s="2" t="s">
        <v>46</v>
      </c>
      <c r="C26" s="26">
        <f t="shared" ref="C26:AF26" si="7">C9/(C$4*1000)</f>
        <v>1.2968482356971566E-3</v>
      </c>
      <c r="D26" s="26">
        <f t="shared" si="7"/>
        <v>1.302367472979928E-3</v>
      </c>
      <c r="E26" s="26">
        <f t="shared" si="7"/>
        <v>1.3179280130572975E-3</v>
      </c>
      <c r="F26" s="26">
        <f t="shared" si="7"/>
        <v>1.320571281080616E-3</v>
      </c>
      <c r="G26" s="26">
        <f t="shared" si="7"/>
        <v>1.3264690677235913E-3</v>
      </c>
      <c r="H26" s="26">
        <f t="shared" si="7"/>
        <v>1.3298835705045278E-3</v>
      </c>
      <c r="I26" s="26">
        <f t="shared" si="7"/>
        <v>1.335721685082873E-3</v>
      </c>
      <c r="J26" s="26">
        <f t="shared" si="7"/>
        <v>1.338287393070077E-3</v>
      </c>
      <c r="K26" s="26">
        <f t="shared" si="7"/>
        <v>1.3406850025947069E-3</v>
      </c>
      <c r="L26" s="26">
        <f t="shared" si="7"/>
        <v>1.3409228638213142E-3</v>
      </c>
      <c r="M26" s="26">
        <f t="shared" si="7"/>
        <v>1.3346826285419E-3</v>
      </c>
      <c r="N26" s="26">
        <f t="shared" si="7"/>
        <v>1.3286779196298518E-3</v>
      </c>
      <c r="O26" s="26">
        <f t="shared" si="7"/>
        <v>1.3239280538743501E-3</v>
      </c>
      <c r="P26" s="26">
        <f t="shared" si="7"/>
        <v>1.3185480451191587E-3</v>
      </c>
      <c r="Q26" s="26">
        <f t="shared" si="7"/>
        <v>1.3140663235170027E-3</v>
      </c>
      <c r="R26" s="26">
        <f t="shared" si="7"/>
        <v>1.3087901939383762E-3</v>
      </c>
      <c r="S26" s="26">
        <f t="shared" si="7"/>
        <v>1.3036504886809791E-3</v>
      </c>
      <c r="T26" s="26">
        <f t="shared" si="7"/>
        <v>1.2978139805502453E-3</v>
      </c>
      <c r="U26" s="26">
        <f t="shared" si="7"/>
        <v>1.2940203457116864E-3</v>
      </c>
      <c r="V26" s="26">
        <f t="shared" si="7"/>
        <v>1.2885359229693029E-3</v>
      </c>
      <c r="W26" s="26">
        <f t="shared" si="7"/>
        <v>1.2840062238964867E-3</v>
      </c>
      <c r="X26" s="26">
        <f t="shared" si="7"/>
        <v>1.2800912721049628E-3</v>
      </c>
      <c r="Y26" s="26">
        <f t="shared" si="7"/>
        <v>1.2748357797421133E-3</v>
      </c>
      <c r="Z26" s="26">
        <f t="shared" si="7"/>
        <v>1.2695504801872326E-3</v>
      </c>
      <c r="AA26" s="26">
        <f t="shared" si="7"/>
        <v>1.2653602120311623E-3</v>
      </c>
      <c r="AB26" s="26">
        <f t="shared" si="7"/>
        <v>1.2603309088002558E-3</v>
      </c>
      <c r="AC26" s="26">
        <f t="shared" si="7"/>
        <v>1.2566223848540291E-3</v>
      </c>
      <c r="AD26" s="26">
        <f t="shared" si="7"/>
        <v>1.2534241152719499E-3</v>
      </c>
      <c r="AE26" s="26">
        <f t="shared" si="7"/>
        <v>1.2500196989992907E-3</v>
      </c>
      <c r="AF26" s="26">
        <f t="shared" si="7"/>
        <v>1.246647321778684E-3</v>
      </c>
      <c r="AG26" s="25">
        <f t="shared" si="3"/>
        <v>0.96129006267916484</v>
      </c>
    </row>
    <row r="27" spans="1:33">
      <c r="A27" s="2"/>
      <c r="B27" s="2" t="s">
        <v>47</v>
      </c>
      <c r="C27" s="26">
        <f t="shared" ref="C27:AF27" si="8">C10/(C$4*1000)</f>
        <v>1.2400650907845152E-3</v>
      </c>
      <c r="D27" s="26">
        <f t="shared" si="8"/>
        <v>1.2813518613827414E-3</v>
      </c>
      <c r="E27" s="26">
        <f t="shared" si="8"/>
        <v>1.3524611287690062E-3</v>
      </c>
      <c r="F27" s="26">
        <f t="shared" si="8"/>
        <v>1.3474146089649832E-3</v>
      </c>
      <c r="G27" s="26">
        <f t="shared" si="8"/>
        <v>1.344132345338618E-3</v>
      </c>
      <c r="H27" s="26">
        <f t="shared" si="8"/>
        <v>1.3410090556274256E-3</v>
      </c>
      <c r="I27" s="26">
        <f t="shared" si="8"/>
        <v>1.3530732044198894E-3</v>
      </c>
      <c r="J27" s="26">
        <f t="shared" si="8"/>
        <v>1.3566923010455371E-3</v>
      </c>
      <c r="K27" s="26">
        <f t="shared" si="8"/>
        <v>1.3552153606642449E-3</v>
      </c>
      <c r="L27" s="26">
        <f t="shared" si="8"/>
        <v>1.3532161717600207E-3</v>
      </c>
      <c r="M27" s="26">
        <f t="shared" si="8"/>
        <v>1.3416587718542762E-3</v>
      </c>
      <c r="N27" s="26">
        <f t="shared" si="8"/>
        <v>1.3302202039242566E-3</v>
      </c>
      <c r="O27" s="26">
        <f t="shared" si="8"/>
        <v>1.3192396215156424E-3</v>
      </c>
      <c r="P27" s="26">
        <f t="shared" si="8"/>
        <v>1.3093885166652532E-3</v>
      </c>
      <c r="Q27" s="26">
        <f t="shared" si="8"/>
        <v>1.2992996371614209E-3</v>
      </c>
      <c r="R27" s="26">
        <f t="shared" si="8"/>
        <v>1.2885567962387708E-3</v>
      </c>
      <c r="S27" s="26">
        <f t="shared" si="8"/>
        <v>1.2764180101912956E-3</v>
      </c>
      <c r="T27" s="26">
        <f t="shared" si="8"/>
        <v>1.2647327736680244E-3</v>
      </c>
      <c r="U27" s="26">
        <f t="shared" si="8"/>
        <v>1.2542386899346621E-3</v>
      </c>
      <c r="V27" s="26">
        <f t="shared" si="8"/>
        <v>1.2431075631635256E-3</v>
      </c>
      <c r="W27" s="26">
        <f t="shared" si="8"/>
        <v>1.2324133977561216E-3</v>
      </c>
      <c r="X27" s="26">
        <f t="shared" si="8"/>
        <v>1.2228832206014179E-3</v>
      </c>
      <c r="Y27" s="26">
        <f t="shared" si="8"/>
        <v>1.2122293406860757E-3</v>
      </c>
      <c r="Z27" s="26">
        <f t="shared" si="8"/>
        <v>1.2004680816721815E-3</v>
      </c>
      <c r="AA27" s="26">
        <f t="shared" si="8"/>
        <v>1.1893020640912377E-3</v>
      </c>
      <c r="AB27" s="26">
        <f t="shared" si="8"/>
        <v>1.1786427943409799E-3</v>
      </c>
      <c r="AC27" s="26">
        <f t="shared" si="8"/>
        <v>1.1691194017977885E-3</v>
      </c>
      <c r="AD27" s="26">
        <f t="shared" si="8"/>
        <v>1.1608740400601695E-3</v>
      </c>
      <c r="AE27" s="26">
        <f t="shared" si="8"/>
        <v>1.1533370104798676E-3</v>
      </c>
      <c r="AF27" s="26">
        <f t="shared" si="8"/>
        <v>1.1463414634146341E-3</v>
      </c>
      <c r="AG27" s="25">
        <f t="shared" si="3"/>
        <v>0.92442039690788513</v>
      </c>
    </row>
    <row r="28" spans="1:33">
      <c r="A28" s="2" t="s">
        <v>48</v>
      </c>
      <c r="B28" s="2" t="s">
        <v>44</v>
      </c>
      <c r="C28" s="26">
        <f t="shared" ref="C28:AF28" si="9">C11/(C$4*1000)</f>
        <v>4175.7532690133603</v>
      </c>
      <c r="D28" s="26">
        <f t="shared" si="9"/>
        <v>4290.32529258878</v>
      </c>
      <c r="E28" s="26">
        <f t="shared" si="9"/>
        <v>4415.8584227300062</v>
      </c>
      <c r="F28" s="26">
        <f t="shared" si="9"/>
        <v>4426.6730332960506</v>
      </c>
      <c r="G28" s="26">
        <f t="shared" si="9"/>
        <v>4471.194237377219</v>
      </c>
      <c r="H28" s="26">
        <f t="shared" si="9"/>
        <v>4517.3012416558859</v>
      </c>
      <c r="I28" s="26">
        <f t="shared" si="9"/>
        <v>4534.4877379143645</v>
      </c>
      <c r="J28" s="26">
        <f t="shared" si="9"/>
        <v>4549.2655298539703</v>
      </c>
      <c r="K28" s="26">
        <f t="shared" si="9"/>
        <v>4580.3940049299426</v>
      </c>
      <c r="L28" s="26">
        <f t="shared" si="9"/>
        <v>4596.7648857241793</v>
      </c>
      <c r="M28" s="26">
        <f t="shared" si="9"/>
        <v>4590.7247526483507</v>
      </c>
      <c r="N28" s="26">
        <f t="shared" si="9"/>
        <v>4588.2619673549825</v>
      </c>
      <c r="O28" s="26">
        <f t="shared" si="9"/>
        <v>4581.3175223766093</v>
      </c>
      <c r="P28" s="26">
        <f t="shared" si="9"/>
        <v>4571.9359097616825</v>
      </c>
      <c r="Q28" s="26">
        <f t="shared" si="9"/>
        <v>4566.0915494894944</v>
      </c>
      <c r="R28" s="26">
        <f t="shared" si="9"/>
        <v>4560.3385640164552</v>
      </c>
      <c r="S28" s="26">
        <f t="shared" si="9"/>
        <v>4564.7953706457274</v>
      </c>
      <c r="T28" s="26">
        <f t="shared" si="9"/>
        <v>4564.9741046463305</v>
      </c>
      <c r="U28" s="26">
        <f t="shared" si="9"/>
        <v>4560.8680306012739</v>
      </c>
      <c r="V28" s="26">
        <f t="shared" si="9"/>
        <v>4552.081943626039</v>
      </c>
      <c r="W28" s="26">
        <f t="shared" si="9"/>
        <v>4553.4805905331259</v>
      </c>
      <c r="X28" s="26">
        <f t="shared" si="9"/>
        <v>4561.6027520984435</v>
      </c>
      <c r="Y28" s="26">
        <f t="shared" si="9"/>
        <v>4565.6596357148646</v>
      </c>
      <c r="Z28" s="26">
        <f t="shared" si="9"/>
        <v>4563.2801585021389</v>
      </c>
      <c r="AA28" s="26">
        <f t="shared" si="9"/>
        <v>4563.5161183840655</v>
      </c>
      <c r="AB28" s="26">
        <f t="shared" si="9"/>
        <v>4565.7606618176005</v>
      </c>
      <c r="AC28" s="26">
        <f t="shared" si="9"/>
        <v>4557.0169335772807</v>
      </c>
      <c r="AD28" s="26">
        <f t="shared" si="9"/>
        <v>4542.0684954477083</v>
      </c>
      <c r="AE28" s="26">
        <f t="shared" si="9"/>
        <v>4536.8741607438342</v>
      </c>
      <c r="AF28" s="26">
        <f t="shared" si="9"/>
        <v>4548.399029880009</v>
      </c>
      <c r="AG28" s="25">
        <f t="shared" si="3"/>
        <v>1.0892403685897603</v>
      </c>
    </row>
    <row r="29" spans="1:33">
      <c r="A29" s="2"/>
      <c r="B29" s="2" t="s">
        <v>14</v>
      </c>
      <c r="C29" s="26">
        <f t="shared" ref="C29:AF29" si="10">C12/(C$4*1000)</f>
        <v>2.7945786228160328E-2</v>
      </c>
      <c r="D29" s="26">
        <f t="shared" si="10"/>
        <v>2.8584491336421342E-2</v>
      </c>
      <c r="E29" s="26">
        <f t="shared" si="10"/>
        <v>2.9668585173095095E-2</v>
      </c>
      <c r="F29" s="26">
        <f t="shared" si="10"/>
        <v>2.9714531532306632E-2</v>
      </c>
      <c r="G29" s="26">
        <f t="shared" si="10"/>
        <v>2.9858952266069275E-2</v>
      </c>
      <c r="H29" s="26">
        <f t="shared" si="10"/>
        <v>3.0167917205692108E-2</v>
      </c>
      <c r="I29" s="26">
        <f t="shared" si="10"/>
        <v>3.0102209944751383E-2</v>
      </c>
      <c r="J29" s="26">
        <f t="shared" si="10"/>
        <v>3.0055387539963709E-2</v>
      </c>
      <c r="K29" s="26">
        <f t="shared" si="10"/>
        <v>3.0124286455630513E-2</v>
      </c>
      <c r="L29" s="26">
        <f t="shared" si="10"/>
        <v>3.0211063977144837E-2</v>
      </c>
      <c r="M29" s="26">
        <f t="shared" si="10"/>
        <v>3.0065799672724141E-2</v>
      </c>
      <c r="N29" s="26">
        <f t="shared" si="10"/>
        <v>3.0028018164681688E-2</v>
      </c>
      <c r="O29" s="26">
        <f t="shared" si="10"/>
        <v>2.9881254794987641E-2</v>
      </c>
      <c r="P29" s="26">
        <f t="shared" si="10"/>
        <v>2.9751505385463489E-2</v>
      </c>
      <c r="Q29" s="26">
        <f t="shared" si="10"/>
        <v>2.9721204961606615E-2</v>
      </c>
      <c r="R29" s="26">
        <f t="shared" si="10"/>
        <v>2.9643270926034759E-2</v>
      </c>
      <c r="S29" s="26">
        <f t="shared" si="10"/>
        <v>2.9608052794252777E-2</v>
      </c>
      <c r="T29" s="26">
        <f t="shared" si="10"/>
        <v>2.961399717396725E-2</v>
      </c>
      <c r="U29" s="26">
        <f t="shared" si="10"/>
        <v>2.9574725002067655E-2</v>
      </c>
      <c r="V29" s="26">
        <f t="shared" si="10"/>
        <v>2.9571393300962884E-2</v>
      </c>
      <c r="W29" s="26">
        <f t="shared" si="10"/>
        <v>2.9641470805011876E-2</v>
      </c>
      <c r="X29" s="26">
        <f t="shared" si="10"/>
        <v>2.9782006356450168E-2</v>
      </c>
      <c r="Y29" s="26">
        <f t="shared" si="10"/>
        <v>2.996237125942746E-2</v>
      </c>
      <c r="Z29" s="26">
        <f t="shared" si="10"/>
        <v>2.9986441772254055E-2</v>
      </c>
      <c r="AA29" s="26">
        <f t="shared" si="10"/>
        <v>3.0188097341578991E-2</v>
      </c>
      <c r="AB29" s="26">
        <f t="shared" si="10"/>
        <v>3.0277196067460634E-2</v>
      </c>
      <c r="AC29" s="26">
        <f t="shared" si="10"/>
        <v>3.0260679341341183E-2</v>
      </c>
      <c r="AD29" s="26">
        <f t="shared" si="10"/>
        <v>3.030274720924709E-2</v>
      </c>
      <c r="AE29" s="26">
        <f t="shared" si="10"/>
        <v>3.035481837522654E-2</v>
      </c>
      <c r="AF29" s="26">
        <f t="shared" si="10"/>
        <v>3.0552191984942356E-2</v>
      </c>
      <c r="AG29" s="25">
        <f t="shared" si="3"/>
        <v>1.0932665030606874</v>
      </c>
    </row>
    <row r="30" spans="1:33">
      <c r="A30" s="2"/>
      <c r="B30" s="2" t="s">
        <v>47</v>
      </c>
      <c r="C30" s="26">
        <f t="shared" ref="C30:AF30" si="11">C13/(C$4*1000)</f>
        <v>3.0615793079821858E-3</v>
      </c>
      <c r="D30" s="26">
        <f t="shared" si="11"/>
        <v>3.1489963973237263E-3</v>
      </c>
      <c r="E30" s="26">
        <f t="shared" si="11"/>
        <v>3.1639034447212438E-3</v>
      </c>
      <c r="F30" s="26">
        <f t="shared" si="11"/>
        <v>3.1690613438871205E-3</v>
      </c>
      <c r="G30" s="26">
        <f t="shared" si="11"/>
        <v>3.1934344304669999E-3</v>
      </c>
      <c r="H30" s="26">
        <f t="shared" si="11"/>
        <v>3.2154376886589049E-3</v>
      </c>
      <c r="I30" s="26">
        <f t="shared" si="11"/>
        <v>3.2182320441988951E-3</v>
      </c>
      <c r="J30" s="26">
        <f t="shared" si="11"/>
        <v>3.2201676315562083E-3</v>
      </c>
      <c r="K30" s="26">
        <f t="shared" si="11"/>
        <v>3.228420688462204E-3</v>
      </c>
      <c r="L30" s="26">
        <f t="shared" si="11"/>
        <v>3.243182408449485E-3</v>
      </c>
      <c r="M30" s="26">
        <f t="shared" si="11"/>
        <v>3.2355524933252952E-3</v>
      </c>
      <c r="N30" s="26">
        <f t="shared" si="11"/>
        <v>3.2399965727015678E-3</v>
      </c>
      <c r="O30" s="26">
        <f t="shared" si="11"/>
        <v>3.2344216179353851E-3</v>
      </c>
      <c r="P30" s="26">
        <f t="shared" si="11"/>
        <v>3.2250021202612162E-3</v>
      </c>
      <c r="Q30" s="26">
        <f t="shared" si="11"/>
        <v>3.2196439119061681E-3</v>
      </c>
      <c r="R30" s="26">
        <f t="shared" si="11"/>
        <v>3.2135840819410627E-3</v>
      </c>
      <c r="S30" s="26">
        <f t="shared" si="11"/>
        <v>3.2174421518670121E-3</v>
      </c>
      <c r="T30" s="26">
        <f t="shared" si="11"/>
        <v>3.2259163826780816E-3</v>
      </c>
      <c r="U30" s="26">
        <f t="shared" si="11"/>
        <v>3.2326523860722852E-3</v>
      </c>
      <c r="V30" s="26">
        <f t="shared" si="11"/>
        <v>3.2350423833429347E-3</v>
      </c>
      <c r="W30" s="26">
        <f t="shared" si="11"/>
        <v>3.2360985996232904E-3</v>
      </c>
      <c r="X30" s="26">
        <f t="shared" si="11"/>
        <v>3.2380409094613315E-3</v>
      </c>
      <c r="Y30" s="26">
        <f t="shared" si="11"/>
        <v>3.2381801962533454E-3</v>
      </c>
      <c r="Z30" s="26">
        <f t="shared" si="11"/>
        <v>3.2393672827051891E-3</v>
      </c>
      <c r="AA30" s="26">
        <f t="shared" si="11"/>
        <v>3.2422295397960001E-3</v>
      </c>
      <c r="AB30" s="26">
        <f t="shared" si="11"/>
        <v>3.24530413236352E-3</v>
      </c>
      <c r="AC30" s="26">
        <f t="shared" si="11"/>
        <v>3.2448492562246441E-3</v>
      </c>
      <c r="AD30" s="26">
        <f t="shared" si="11"/>
        <v>3.2442403610165467E-3</v>
      </c>
      <c r="AE30" s="26">
        <f t="shared" si="11"/>
        <v>3.2473406350957373E-3</v>
      </c>
      <c r="AF30" s="26">
        <f t="shared" si="11"/>
        <v>3.2558230727001802E-3</v>
      </c>
      <c r="AG30" s="25">
        <f t="shared" si="3"/>
        <v>1.0634456093335749</v>
      </c>
    </row>
    <row r="31" spans="1:33">
      <c r="A31" s="2"/>
      <c r="B31" s="2" t="s">
        <v>49</v>
      </c>
      <c r="C31" s="26">
        <f t="shared" ref="C31:AF31" si="12">C14/(C$4*1000)</f>
        <v>7.0720280918122646E-3</v>
      </c>
      <c r="D31" s="26">
        <f t="shared" si="12"/>
        <v>8.1648653285297645E-3</v>
      </c>
      <c r="E31" s="26">
        <f t="shared" si="12"/>
        <v>8.3904303753973026E-3</v>
      </c>
      <c r="F31" s="26">
        <f t="shared" si="12"/>
        <v>8.2108749892454615E-3</v>
      </c>
      <c r="G31" s="26">
        <f t="shared" si="12"/>
        <v>8.1419955195588482E-3</v>
      </c>
      <c r="H31" s="26">
        <f t="shared" si="12"/>
        <v>8.2797757654161277E-3</v>
      </c>
      <c r="I31" s="26">
        <f t="shared" si="12"/>
        <v>8.1456319060773472E-3</v>
      </c>
      <c r="J31" s="26">
        <f t="shared" si="12"/>
        <v>8.0146029551542378E-3</v>
      </c>
      <c r="K31" s="26">
        <f t="shared" si="12"/>
        <v>7.9016606123508051E-3</v>
      </c>
      <c r="L31" s="26">
        <f t="shared" si="12"/>
        <v>7.7767292875075755E-3</v>
      </c>
      <c r="M31" s="26">
        <f t="shared" si="12"/>
        <v>7.6291447765050383E-3</v>
      </c>
      <c r="N31" s="26">
        <f t="shared" si="12"/>
        <v>7.5617342130065972E-3</v>
      </c>
      <c r="O31" s="26">
        <f t="shared" si="12"/>
        <v>7.4668826187025833E-3</v>
      </c>
      <c r="P31" s="26">
        <f t="shared" si="12"/>
        <v>7.4158256297175811E-3</v>
      </c>
      <c r="Q31" s="26">
        <f t="shared" si="12"/>
        <v>7.3495063707703992E-3</v>
      </c>
      <c r="R31" s="26">
        <f t="shared" si="12"/>
        <v>7.3035009654940815E-3</v>
      </c>
      <c r="S31" s="26">
        <f t="shared" si="12"/>
        <v>7.2841032495196724E-3</v>
      </c>
      <c r="T31" s="26">
        <f t="shared" si="12"/>
        <v>7.2545923032166903E-3</v>
      </c>
      <c r="U31" s="26">
        <f t="shared" si="12"/>
        <v>7.1574725002067656E-3</v>
      </c>
      <c r="V31" s="26">
        <f t="shared" si="12"/>
        <v>7.0399144103365976E-3</v>
      </c>
      <c r="W31" s="26">
        <f t="shared" si="12"/>
        <v>6.9823929244124151E-3</v>
      </c>
      <c r="X31" s="26">
        <f t="shared" si="12"/>
        <v>6.9383913291500288E-3</v>
      </c>
      <c r="Y31" s="26">
        <f t="shared" si="12"/>
        <v>6.8671640580650391E-3</v>
      </c>
      <c r="Z31" s="26">
        <f t="shared" si="12"/>
        <v>6.7683802760067791E-3</v>
      </c>
      <c r="AA31" s="26">
        <f t="shared" si="12"/>
        <v>6.6491848044333791E-3</v>
      </c>
      <c r="AB31" s="26">
        <f t="shared" si="12"/>
        <v>6.5534329789784986E-3</v>
      </c>
      <c r="AC31" s="26">
        <f t="shared" si="12"/>
        <v>6.4371967226155439E-3</v>
      </c>
      <c r="AD31" s="26">
        <f t="shared" si="12"/>
        <v>6.2637954239569311E-3</v>
      </c>
      <c r="AE31" s="26">
        <f t="shared" si="12"/>
        <v>6.1606650382160589E-3</v>
      </c>
      <c r="AF31" s="26">
        <f t="shared" si="12"/>
        <v>6.1295584660026664E-3</v>
      </c>
      <c r="AG31" s="25">
        <f t="shared" si="3"/>
        <v>0.86673276554136502</v>
      </c>
    </row>
    <row r="32" spans="1:33">
      <c r="A32" s="2" t="s">
        <v>50</v>
      </c>
      <c r="B32" s="2" t="s">
        <v>46</v>
      </c>
      <c r="C32" s="26">
        <f t="shared" ref="C32:AF32" si="13">C15/(C$4*1000)</f>
        <v>4.6939105858170606E-2</v>
      </c>
      <c r="D32" s="26">
        <f t="shared" si="13"/>
        <v>4.8382484131068791E-2</v>
      </c>
      <c r="E32" s="26">
        <f t="shared" si="13"/>
        <v>4.9326947856713342E-2</v>
      </c>
      <c r="F32" s="26">
        <f t="shared" si="13"/>
        <v>4.9190140239180932E-2</v>
      </c>
      <c r="G32" s="26">
        <f t="shared" si="13"/>
        <v>4.8990435981388934E-2</v>
      </c>
      <c r="H32" s="26">
        <f t="shared" si="13"/>
        <v>4.8674859853385079E-2</v>
      </c>
      <c r="I32" s="26">
        <f t="shared" si="13"/>
        <v>4.8277192679558011E-2</v>
      </c>
      <c r="J32" s="26">
        <f t="shared" si="13"/>
        <v>4.7849390823468417E-2</v>
      </c>
      <c r="K32" s="26">
        <f t="shared" si="13"/>
        <v>4.7467825635703169E-2</v>
      </c>
      <c r="L32" s="26">
        <f t="shared" si="13"/>
        <v>4.7141805904250711E-2</v>
      </c>
      <c r="M32" s="26">
        <f t="shared" si="13"/>
        <v>4.6558005339764015E-2</v>
      </c>
      <c r="N32" s="26">
        <f t="shared" si="13"/>
        <v>4.5959129466198269E-2</v>
      </c>
      <c r="O32" s="26">
        <f t="shared" si="13"/>
        <v>4.5449833773761827E-2</v>
      </c>
      <c r="P32" s="26">
        <f t="shared" si="13"/>
        <v>4.4963870748876263E-2</v>
      </c>
      <c r="Q32" s="26">
        <f t="shared" si="13"/>
        <v>4.4477428065142183E-2</v>
      </c>
      <c r="R32" s="26">
        <f t="shared" si="13"/>
        <v>4.4028377130383677E-2</v>
      </c>
      <c r="S32" s="26">
        <f t="shared" si="13"/>
        <v>4.36377077938351E-2</v>
      </c>
      <c r="T32" s="26">
        <f t="shared" si="13"/>
        <v>4.3273044634693711E-2</v>
      </c>
      <c r="U32" s="26">
        <f t="shared" si="13"/>
        <v>4.2954263501778181E-2</v>
      </c>
      <c r="V32" s="26">
        <f t="shared" si="13"/>
        <v>4.2666118014978188E-2</v>
      </c>
      <c r="W32" s="26">
        <f t="shared" si="13"/>
        <v>4.2398083695029072E-2</v>
      </c>
      <c r="X32" s="26">
        <f t="shared" si="13"/>
        <v>4.2155733029092986E-2</v>
      </c>
      <c r="Y32" s="26">
        <f t="shared" si="13"/>
        <v>4.1928716243613655E-2</v>
      </c>
      <c r="Z32" s="26">
        <f t="shared" si="13"/>
        <v>4.1729803889920106E-2</v>
      </c>
      <c r="AA32" s="26">
        <f t="shared" si="13"/>
        <v>4.1561481005541724E-2</v>
      </c>
      <c r="AB32" s="26">
        <f t="shared" si="13"/>
        <v>4.1434897290384465E-2</v>
      </c>
      <c r="AC32" s="26">
        <f t="shared" si="13"/>
        <v>4.1306499085196083E-2</v>
      </c>
      <c r="AD32" s="26">
        <f t="shared" si="13"/>
        <v>4.1182408360383185E-2</v>
      </c>
      <c r="AE32" s="26">
        <f t="shared" si="13"/>
        <v>4.1095185564573318E-2</v>
      </c>
      <c r="AF32" s="26">
        <f t="shared" si="13"/>
        <v>4.1050113716571246E-2</v>
      </c>
      <c r="AG32" s="25">
        <f t="shared" si="3"/>
        <v>0.87453974604046969</v>
      </c>
    </row>
    <row r="33" spans="1:33">
      <c r="A33" s="2"/>
      <c r="B33" s="2" t="s">
        <v>51</v>
      </c>
      <c r="C33" s="26">
        <f t="shared" ref="C33:AF33" si="14">C16/(C$4*1000)</f>
        <v>2.0700411099691677E-2</v>
      </c>
      <c r="D33" s="26">
        <f t="shared" si="14"/>
        <v>2.0872791216332131E-2</v>
      </c>
      <c r="E33" s="26">
        <f t="shared" si="14"/>
        <v>2.1124387939180481E-2</v>
      </c>
      <c r="F33" s="26">
        <f t="shared" si="14"/>
        <v>2.0957670136797727E-2</v>
      </c>
      <c r="G33" s="26">
        <f t="shared" si="14"/>
        <v>2.0881612958814407E-2</v>
      </c>
      <c r="H33" s="26">
        <f t="shared" si="14"/>
        <v>2.0754118154376888E-2</v>
      </c>
      <c r="I33" s="26">
        <f t="shared" si="14"/>
        <v>2.0549723756906078E-2</v>
      </c>
      <c r="J33" s="26">
        <f t="shared" si="14"/>
        <v>2.034105244966733E-2</v>
      </c>
      <c r="K33" s="26">
        <f t="shared" si="14"/>
        <v>2.0119961944300293E-2</v>
      </c>
      <c r="L33" s="26">
        <f t="shared" si="14"/>
        <v>1.9899229503939055E-2</v>
      </c>
      <c r="M33" s="26">
        <f t="shared" si="14"/>
        <v>1.9522780122297821E-2</v>
      </c>
      <c r="N33" s="26">
        <f t="shared" si="14"/>
        <v>1.9191585982349414E-2</v>
      </c>
      <c r="O33" s="26">
        <f t="shared" si="14"/>
        <v>1.8888500554087459E-2</v>
      </c>
      <c r="P33" s="26">
        <f t="shared" si="14"/>
        <v>1.8577389534390636E-2</v>
      </c>
      <c r="Q33" s="26">
        <f t="shared" si="14"/>
        <v>1.8295249346046746E-2</v>
      </c>
      <c r="R33" s="26">
        <f t="shared" si="14"/>
        <v>1.8022080429854755E-2</v>
      </c>
      <c r="S33" s="26">
        <f t="shared" si="14"/>
        <v>1.7796842369058558E-2</v>
      </c>
      <c r="T33" s="26">
        <f t="shared" si="14"/>
        <v>1.7591056437536366E-2</v>
      </c>
      <c r="U33" s="26">
        <f t="shared" si="14"/>
        <v>1.7377718964519062E-2</v>
      </c>
      <c r="V33" s="26">
        <f t="shared" si="14"/>
        <v>1.7188214961731545E-2</v>
      </c>
      <c r="W33" s="26">
        <f t="shared" si="14"/>
        <v>1.7008516910981902E-2</v>
      </c>
      <c r="X33" s="26">
        <f t="shared" si="14"/>
        <v>1.6867247983049467E-2</v>
      </c>
      <c r="Y33" s="26">
        <f t="shared" si="14"/>
        <v>1.6732625091233477E-2</v>
      </c>
      <c r="Z33" s="26">
        <f t="shared" si="14"/>
        <v>1.6587200387377935E-2</v>
      </c>
      <c r="AA33" s="26">
        <f t="shared" si="14"/>
        <v>1.6440044976307123E-2</v>
      </c>
      <c r="AB33" s="26">
        <f t="shared" si="14"/>
        <v>1.6310526736471903E-2</v>
      </c>
      <c r="AC33" s="26">
        <f t="shared" si="14"/>
        <v>1.6156073502505766E-2</v>
      </c>
      <c r="AD33" s="26">
        <f t="shared" si="14"/>
        <v>1.5979178212334733E-2</v>
      </c>
      <c r="AE33" s="26">
        <f t="shared" si="14"/>
        <v>1.5835631549917264E-2</v>
      </c>
      <c r="AF33" s="26">
        <f t="shared" si="14"/>
        <v>1.5726531252450788E-2</v>
      </c>
      <c r="AG33" s="25">
        <f t="shared" si="3"/>
        <v>0.75972072132833279</v>
      </c>
    </row>
    <row r="34" spans="1:33">
      <c r="A34" s="2"/>
      <c r="B34" s="2" t="s">
        <v>14</v>
      </c>
      <c r="C34" s="26">
        <f t="shared" ref="C34:AF34" si="15">C17/(C$4*1000)</f>
        <v>3.578108941418294E-3</v>
      </c>
      <c r="D34" s="26">
        <f t="shared" si="15"/>
        <v>3.5394578829987993E-3</v>
      </c>
      <c r="E34" s="26">
        <f t="shared" si="15"/>
        <v>3.5971136500300661E-3</v>
      </c>
      <c r="F34" s="26">
        <f t="shared" si="15"/>
        <v>3.6120622902865011E-3</v>
      </c>
      <c r="G34" s="26">
        <f t="shared" si="15"/>
        <v>3.5901257970015511E-3</v>
      </c>
      <c r="H34" s="26">
        <f t="shared" si="15"/>
        <v>3.5815437688658906E-3</v>
      </c>
      <c r="I34" s="26">
        <f t="shared" si="15"/>
        <v>3.5823549723756907E-3</v>
      </c>
      <c r="J34" s="26">
        <f t="shared" si="15"/>
        <v>3.6732048734122525E-3</v>
      </c>
      <c r="K34" s="26">
        <f t="shared" si="15"/>
        <v>3.8028887735685867E-3</v>
      </c>
      <c r="L34" s="26">
        <f t="shared" si="15"/>
        <v>3.8965457536144056E-3</v>
      </c>
      <c r="M34" s="26">
        <f t="shared" si="15"/>
        <v>3.9987081216088195E-3</v>
      </c>
      <c r="N34" s="26">
        <f t="shared" si="15"/>
        <v>4.0985348299203157E-3</v>
      </c>
      <c r="O34" s="26">
        <f t="shared" si="15"/>
        <v>4.2010911260762082E-3</v>
      </c>
      <c r="P34" s="26">
        <f t="shared" si="15"/>
        <v>4.3216012212704607E-3</v>
      </c>
      <c r="Q34" s="26">
        <f t="shared" si="15"/>
        <v>4.3645262003206477E-3</v>
      </c>
      <c r="R34" s="26">
        <f t="shared" si="15"/>
        <v>4.4291831080513809E-3</v>
      </c>
      <c r="S34" s="26">
        <f t="shared" si="15"/>
        <v>4.5111519505471554E-3</v>
      </c>
      <c r="T34" s="26">
        <f t="shared" si="15"/>
        <v>4.577009392402959E-3</v>
      </c>
      <c r="U34" s="26">
        <f t="shared" si="15"/>
        <v>4.6542883136217019E-3</v>
      </c>
      <c r="V34" s="26">
        <f t="shared" si="15"/>
        <v>4.7451238581186737E-3</v>
      </c>
      <c r="W34" s="26">
        <f t="shared" si="15"/>
        <v>4.8180329211366798E-3</v>
      </c>
      <c r="X34" s="26">
        <f t="shared" si="15"/>
        <v>4.8617879553418631E-3</v>
      </c>
      <c r="Y34" s="26">
        <f t="shared" si="15"/>
        <v>4.9274997972589413E-3</v>
      </c>
      <c r="Z34" s="26">
        <f t="shared" si="15"/>
        <v>4.9854733274150593E-3</v>
      </c>
      <c r="AA34" s="26">
        <f t="shared" si="15"/>
        <v>5.0337322303429443E-3</v>
      </c>
      <c r="AB34" s="26">
        <f t="shared" si="15"/>
        <v>5.0911198145631841E-3</v>
      </c>
      <c r="AC34" s="26">
        <f t="shared" si="15"/>
        <v>5.1634714819823405E-3</v>
      </c>
      <c r="AD34" s="26">
        <f t="shared" si="15"/>
        <v>5.2370358641437732E-3</v>
      </c>
      <c r="AE34" s="26">
        <f t="shared" si="15"/>
        <v>5.2779134819951144E-3</v>
      </c>
      <c r="AF34" s="26">
        <f t="shared" si="15"/>
        <v>5.3369147517841739E-3</v>
      </c>
      <c r="AG34" s="25">
        <f t="shared" si="3"/>
        <v>1.4915461879896599</v>
      </c>
    </row>
    <row r="35" spans="1:33">
      <c r="B35" s="2" t="s">
        <v>44</v>
      </c>
      <c r="C35" s="26">
        <f t="shared" ref="C35:AF35" si="16">C18/(C$4*1000)</f>
        <v>6.432364850976362</v>
      </c>
      <c r="D35" s="26">
        <f t="shared" si="16"/>
        <v>8.8119562532166746</v>
      </c>
      <c r="E35" s="26">
        <f t="shared" si="16"/>
        <v>11.566366806975346</v>
      </c>
      <c r="F35" s="26">
        <f t="shared" si="16"/>
        <v>14.608976512088102</v>
      </c>
      <c r="G35" s="26">
        <f t="shared" si="16"/>
        <v>17.852076339824229</v>
      </c>
      <c r="H35" s="26">
        <f t="shared" si="16"/>
        <v>21.288262613195343</v>
      </c>
      <c r="I35" s="26">
        <f t="shared" si="16"/>
        <v>24.783120511049724</v>
      </c>
      <c r="J35" s="26">
        <f t="shared" si="16"/>
        <v>28.25678458480947</v>
      </c>
      <c r="K35" s="26">
        <f t="shared" si="16"/>
        <v>31.759697716658017</v>
      </c>
      <c r="L35" s="26">
        <f t="shared" si="16"/>
        <v>35.312861397281623</v>
      </c>
      <c r="M35" s="26">
        <f t="shared" si="16"/>
        <v>38.645500904314872</v>
      </c>
      <c r="N35" s="26">
        <f t="shared" si="16"/>
        <v>41.88349130323023</v>
      </c>
      <c r="O35" s="26">
        <f t="shared" si="16"/>
        <v>45.102090614610859</v>
      </c>
      <c r="P35" s="26">
        <f t="shared" si="16"/>
        <v>48.299887202103299</v>
      </c>
      <c r="Q35" s="26">
        <f t="shared" si="16"/>
        <v>51.429624082355922</v>
      </c>
      <c r="R35" s="26">
        <f t="shared" si="16"/>
        <v>54.527829737217701</v>
      </c>
      <c r="S35" s="26">
        <f t="shared" si="16"/>
        <v>57.610116281012445</v>
      </c>
      <c r="T35" s="26">
        <f t="shared" si="16"/>
        <v>60.665006649488824</v>
      </c>
      <c r="U35" s="26">
        <f t="shared" si="16"/>
        <v>63.687912662310808</v>
      </c>
      <c r="V35" s="26">
        <f t="shared" si="16"/>
        <v>66.684279483170116</v>
      </c>
      <c r="W35" s="26">
        <f t="shared" si="16"/>
        <v>69.601732208664316</v>
      </c>
      <c r="X35" s="26">
        <f t="shared" si="16"/>
        <v>72.461118898215304</v>
      </c>
      <c r="Y35" s="26">
        <f t="shared" si="16"/>
        <v>75.315539777795806</v>
      </c>
      <c r="Z35" s="26">
        <f t="shared" si="16"/>
        <v>78.187816721814215</v>
      </c>
      <c r="AA35" s="26">
        <f t="shared" si="16"/>
        <v>80.95963938639467</v>
      </c>
      <c r="AB35" s="26">
        <f t="shared" si="16"/>
        <v>83.714532251618579</v>
      </c>
      <c r="AC35" s="26">
        <f t="shared" si="16"/>
        <v>86.399881234587539</v>
      </c>
      <c r="AD35" s="26">
        <f t="shared" si="16"/>
        <v>89.02305359828992</v>
      </c>
      <c r="AE35" s="26">
        <f t="shared" si="16"/>
        <v>91.649980931368688</v>
      </c>
      <c r="AF35" s="26">
        <f t="shared" si="16"/>
        <v>94.290084699239273</v>
      </c>
      <c r="AG35" s="25">
        <f>AF35/D35</f>
        <v>10.700244303280565</v>
      </c>
    </row>
    <row r="36" spans="1:33">
      <c r="B36" s="2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>
      <c r="B37" s="23" t="s">
        <v>54</v>
      </c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>
      <c r="A38" s="2" t="s">
        <v>43</v>
      </c>
      <c r="B38" s="2" t="s">
        <v>44</v>
      </c>
      <c r="C38" s="24">
        <f t="shared" ref="C38:AF38" ca="1" si="17">C22*C$19</f>
        <v>3724064975.50489</v>
      </c>
      <c r="D38" s="24">
        <f t="shared" ca="1" si="17"/>
        <v>3580186938.3096943</v>
      </c>
      <c r="E38" s="24">
        <f t="shared" ca="1" si="17"/>
        <v>3729589599.4940577</v>
      </c>
      <c r="F38" s="24">
        <f t="shared" ca="1" si="17"/>
        <v>3758806390.6097665</v>
      </c>
      <c r="G38" s="24">
        <f t="shared" ca="1" si="17"/>
        <v>3781630827.8575931</v>
      </c>
      <c r="H38" s="24">
        <f t="shared" ca="1" si="17"/>
        <v>3795831203.1639037</v>
      </c>
      <c r="I38" s="24">
        <f t="shared" ca="1" si="17"/>
        <v>3806277631.5850081</v>
      </c>
      <c r="J38" s="24">
        <f t="shared" ca="1" si="17"/>
        <v>3816892085.4185839</v>
      </c>
      <c r="K38" s="24">
        <f t="shared" ca="1" si="17"/>
        <v>3829048131.3409171</v>
      </c>
      <c r="L38" s="24">
        <f t="shared" ca="1" si="17"/>
        <v>3833577015.184236</v>
      </c>
      <c r="M38" s="24">
        <f t="shared" ca="1" si="17"/>
        <v>3814759566.5728207</v>
      </c>
      <c r="N38" s="24">
        <f t="shared" ca="1" si="17"/>
        <v>3799636723.8902054</v>
      </c>
      <c r="O38" s="24">
        <f t="shared" ca="1" si="17"/>
        <v>3789096321.4482961</v>
      </c>
      <c r="P38" s="24">
        <f t="shared" ca="1" si="17"/>
        <v>3782519400.838686</v>
      </c>
      <c r="Q38" s="24">
        <f t="shared" ca="1" si="17"/>
        <v>3778872109.8543591</v>
      </c>
      <c r="R38" s="24">
        <f t="shared" ca="1" si="17"/>
        <v>3776023344.8754601</v>
      </c>
      <c r="S38" s="24">
        <f t="shared" ca="1" si="17"/>
        <v>3775959558.555285</v>
      </c>
      <c r="T38" s="24">
        <f t="shared" ca="1" si="17"/>
        <v>3775759492.8804898</v>
      </c>
      <c r="U38" s="24">
        <f t="shared" ca="1" si="17"/>
        <v>3775038426.0542092</v>
      </c>
      <c r="V38" s="24">
        <f t="shared" ca="1" si="17"/>
        <v>3771314314.1078873</v>
      </c>
      <c r="W38" s="24">
        <f t="shared" ca="1" si="17"/>
        <v>3766278894.0736971</v>
      </c>
      <c r="X38" s="24">
        <f t="shared" ca="1" si="17"/>
        <v>3764330787.129838</v>
      </c>
      <c r="Y38" s="24">
        <f t="shared" ca="1" si="17"/>
        <v>3764557522.1667118</v>
      </c>
      <c r="Z38" s="24">
        <f t="shared" ca="1" si="17"/>
        <v>3767410172.2496543</v>
      </c>
      <c r="AA38" s="24">
        <f t="shared" ca="1" si="17"/>
        <v>3771441991.5333066</v>
      </c>
      <c r="AB38" s="24">
        <f t="shared" ca="1" si="17"/>
        <v>3776582205.8944554</v>
      </c>
      <c r="AC38" s="24">
        <f t="shared" ca="1" si="17"/>
        <v>3781881588.3599811</v>
      </c>
      <c r="AD38" s="24">
        <f t="shared" ca="1" si="17"/>
        <v>3789584447.9514813</v>
      </c>
      <c r="AE38" s="24">
        <f t="shared" ca="1" si="17"/>
        <v>3799744151.7883391</v>
      </c>
      <c r="AF38" s="24">
        <f t="shared" si="17"/>
        <v>3812210276.1426091</v>
      </c>
      <c r="AG38" s="25">
        <f t="shared" ref="AG38:AG50" ca="1" si="18">AF38/C38</f>
        <v>1.0236691092173462</v>
      </c>
    </row>
    <row r="39" spans="1:33">
      <c r="A39" s="2"/>
      <c r="B39" s="2" t="s">
        <v>14</v>
      </c>
      <c r="C39" s="24">
        <f t="shared" ref="C39:AF39" ca="1" si="19">C23*C$19</f>
        <v>19146.192233299076</v>
      </c>
      <c r="D39" s="24">
        <f t="shared" ca="1" si="19"/>
        <v>18472.594706902466</v>
      </c>
      <c r="E39" s="24">
        <f t="shared" ca="1" si="19"/>
        <v>20307.972225931531</v>
      </c>
      <c r="F39" s="24">
        <f t="shared" ca="1" si="19"/>
        <v>20405.350459938232</v>
      </c>
      <c r="G39" s="24">
        <f t="shared" ca="1" si="19"/>
        <v>20454.877994717357</v>
      </c>
      <c r="H39" s="24">
        <f t="shared" ca="1" si="19"/>
        <v>20399.874673631621</v>
      </c>
      <c r="I39" s="24">
        <f t="shared" ca="1" si="19"/>
        <v>20299.617669913318</v>
      </c>
      <c r="J39" s="24">
        <f t="shared" ca="1" si="19"/>
        <v>20171.436610347511</v>
      </c>
      <c r="K39" s="24">
        <f t="shared" ca="1" si="19"/>
        <v>20019.768155491533</v>
      </c>
      <c r="L39" s="24">
        <f t="shared" ca="1" si="19"/>
        <v>19886.783209944504</v>
      </c>
      <c r="M39" s="24">
        <f t="shared" ca="1" si="19"/>
        <v>19641.316030957565</v>
      </c>
      <c r="N39" s="24">
        <f t="shared" ca="1" si="19"/>
        <v>19416.201147347245</v>
      </c>
      <c r="O39" s="24">
        <f t="shared" ca="1" si="19"/>
        <v>19190.768031693216</v>
      </c>
      <c r="P39" s="24">
        <f t="shared" ca="1" si="19"/>
        <v>18981.27921866181</v>
      </c>
      <c r="Q39" s="24">
        <f t="shared" ca="1" si="19"/>
        <v>18791.74801975099</v>
      </c>
      <c r="R39" s="24">
        <f t="shared" ca="1" si="19"/>
        <v>18608.540448261389</v>
      </c>
      <c r="S39" s="24">
        <f t="shared" ca="1" si="19"/>
        <v>18422.556038080533</v>
      </c>
      <c r="T39" s="24">
        <f t="shared" ca="1" si="19"/>
        <v>18238.184777351038</v>
      </c>
      <c r="U39" s="24">
        <f t="shared" ca="1" si="19"/>
        <v>18058.856489951206</v>
      </c>
      <c r="V39" s="24">
        <f t="shared" ca="1" si="19"/>
        <v>17886.670690815856</v>
      </c>
      <c r="W39" s="24">
        <f t="shared" ca="1" si="19"/>
        <v>17718.623185432018</v>
      </c>
      <c r="X39" s="24">
        <f t="shared" ca="1" si="19"/>
        <v>17553.80007640105</v>
      </c>
      <c r="Y39" s="24">
        <f t="shared" ca="1" si="19"/>
        <v>17390.917335339305</v>
      </c>
      <c r="Z39" s="24">
        <f t="shared" ca="1" si="19"/>
        <v>17238.476078438471</v>
      </c>
      <c r="AA39" s="24">
        <f t="shared" ca="1" si="19"/>
        <v>17083.713332622501</v>
      </c>
      <c r="AB39" s="24">
        <f t="shared" ca="1" si="19"/>
        <v>16928.20324665467</v>
      </c>
      <c r="AC39" s="24">
        <f t="shared" ca="1" si="19"/>
        <v>16771.642467682872</v>
      </c>
      <c r="AD39" s="24">
        <f t="shared" ca="1" si="19"/>
        <v>16615.252085269141</v>
      </c>
      <c r="AE39" s="24">
        <f t="shared" ca="1" si="19"/>
        <v>16457.585010094041</v>
      </c>
      <c r="AF39" s="24">
        <f t="shared" si="19"/>
        <v>16299.602780174104</v>
      </c>
      <c r="AG39" s="25">
        <f t="shared" ca="1" si="18"/>
        <v>0.85132346847671458</v>
      </c>
    </row>
    <row r="40" spans="1:33">
      <c r="A40" s="2" t="s">
        <v>45</v>
      </c>
      <c r="B40" s="2" t="s">
        <v>44</v>
      </c>
      <c r="C40" s="24">
        <f t="shared" ref="C40:AF40" ca="1" si="20">C24*C$19</f>
        <v>3112614522.3681817</v>
      </c>
      <c r="D40" s="24">
        <f t="shared" ca="1" si="20"/>
        <v>3130258367.0904031</v>
      </c>
      <c r="E40" s="24">
        <f t="shared" ca="1" si="20"/>
        <v>3149222243.1797085</v>
      </c>
      <c r="F40" s="24">
        <f t="shared" ca="1" si="20"/>
        <v>3150307219.8713264</v>
      </c>
      <c r="G40" s="24">
        <f t="shared" ca="1" si="20"/>
        <v>3152314865.5244422</v>
      </c>
      <c r="H40" s="24">
        <f t="shared" ca="1" si="20"/>
        <v>3143954866.6271086</v>
      </c>
      <c r="I40" s="24">
        <f t="shared" ca="1" si="20"/>
        <v>3145461963.2819247</v>
      </c>
      <c r="J40" s="24">
        <f t="shared" ca="1" si="20"/>
        <v>3145477614.7434111</v>
      </c>
      <c r="K40" s="24">
        <f t="shared" ca="1" si="20"/>
        <v>3146543488.2409782</v>
      </c>
      <c r="L40" s="24">
        <f t="shared" ca="1" si="20"/>
        <v>3138320523.1460662</v>
      </c>
      <c r="M40" s="24">
        <f t="shared" ca="1" si="20"/>
        <v>3116752702.7592363</v>
      </c>
      <c r="N40" s="24">
        <f t="shared" ca="1" si="20"/>
        <v>3099113794.2042542</v>
      </c>
      <c r="O40" s="24">
        <f t="shared" ca="1" si="20"/>
        <v>3086373892.3219976</v>
      </c>
      <c r="P40" s="24">
        <f t="shared" ca="1" si="20"/>
        <v>3077532418.2656159</v>
      </c>
      <c r="Q40" s="24">
        <f t="shared" ca="1" si="20"/>
        <v>3070713659.3929267</v>
      </c>
      <c r="R40" s="24">
        <f t="shared" ca="1" si="20"/>
        <v>3064185149.8995361</v>
      </c>
      <c r="S40" s="24">
        <f t="shared" ca="1" si="20"/>
        <v>3058738824.5303292</v>
      </c>
      <c r="T40" s="24">
        <f t="shared" ca="1" si="20"/>
        <v>3054256480.7849259</v>
      </c>
      <c r="U40" s="24">
        <f t="shared" ca="1" si="20"/>
        <v>3048054341.4596386</v>
      </c>
      <c r="V40" s="24">
        <f t="shared" ca="1" si="20"/>
        <v>3039511154.5523582</v>
      </c>
      <c r="W40" s="24">
        <f t="shared" ca="1" si="20"/>
        <v>3034776356.0323668</v>
      </c>
      <c r="X40" s="24">
        <f t="shared" ca="1" si="20"/>
        <v>3033297283.7163925</v>
      </c>
      <c r="Y40" s="24">
        <f t="shared" ca="1" si="20"/>
        <v>3033713520.0841093</v>
      </c>
      <c r="Z40" s="24">
        <f t="shared" ca="1" si="20"/>
        <v>3034417349.3885107</v>
      </c>
      <c r="AA40" s="24">
        <f t="shared" ca="1" si="20"/>
        <v>3036750594.491116</v>
      </c>
      <c r="AB40" s="24">
        <f t="shared" ca="1" si="20"/>
        <v>3036232326.2817688</v>
      </c>
      <c r="AC40" s="24">
        <f t="shared" ca="1" si="20"/>
        <v>3038322632.2950773</v>
      </c>
      <c r="AD40" s="24">
        <f t="shared" ca="1" si="20"/>
        <v>3040681233.886549</v>
      </c>
      <c r="AE40" s="24">
        <f t="shared" ca="1" si="20"/>
        <v>3046350930.610023</v>
      </c>
      <c r="AF40" s="24">
        <f t="shared" si="20"/>
        <v>3052990742.3022122</v>
      </c>
      <c r="AG40" s="25">
        <f t="shared" ca="1" si="18"/>
        <v>0.98084447025563393</v>
      </c>
    </row>
    <row r="41" spans="1:33">
      <c r="A41" s="2"/>
      <c r="B41" s="2" t="s">
        <v>14</v>
      </c>
      <c r="C41" s="24">
        <f t="shared" ref="C41:AF41" ca="1" si="21">C25*C$19</f>
        <v>12558.024316375471</v>
      </c>
      <c r="D41" s="24">
        <f t="shared" ca="1" si="21"/>
        <v>12984.559075907619</v>
      </c>
      <c r="E41" s="24">
        <f t="shared" ca="1" si="21"/>
        <v>12799.739872128537</v>
      </c>
      <c r="F41" s="24">
        <f t="shared" ca="1" si="21"/>
        <v>12838.684470891543</v>
      </c>
      <c r="G41" s="24">
        <f t="shared" ca="1" si="21"/>
        <v>12906.803557612888</v>
      </c>
      <c r="H41" s="24">
        <f t="shared" ca="1" si="21"/>
        <v>12922.166771099313</v>
      </c>
      <c r="I41" s="24">
        <f t="shared" ca="1" si="21"/>
        <v>12983.255700871596</v>
      </c>
      <c r="J41" s="24">
        <f t="shared" ca="1" si="21"/>
        <v>12989.2477165817</v>
      </c>
      <c r="K41" s="24">
        <f t="shared" ca="1" si="21"/>
        <v>12950.204592929276</v>
      </c>
      <c r="L41" s="24">
        <f t="shared" ca="1" si="21"/>
        <v>12920.009410580962</v>
      </c>
      <c r="M41" s="24">
        <f t="shared" ca="1" si="21"/>
        <v>12831.052012188204</v>
      </c>
      <c r="N41" s="24">
        <f t="shared" ca="1" si="21"/>
        <v>12760.155272186588</v>
      </c>
      <c r="O41" s="24">
        <f t="shared" ca="1" si="21"/>
        <v>12680.778439542739</v>
      </c>
      <c r="P41" s="24">
        <f t="shared" ca="1" si="21"/>
        <v>12614.031469823565</v>
      </c>
      <c r="Q41" s="24">
        <f t="shared" ca="1" si="21"/>
        <v>12563.03018246678</v>
      </c>
      <c r="R41" s="24">
        <f t="shared" ca="1" si="21"/>
        <v>12510.494719271379</v>
      </c>
      <c r="S41" s="24">
        <f t="shared" ca="1" si="21"/>
        <v>12445.438889402263</v>
      </c>
      <c r="T41" s="24">
        <f t="shared" ca="1" si="21"/>
        <v>12374.148638852506</v>
      </c>
      <c r="U41" s="24">
        <f t="shared" ca="1" si="21"/>
        <v>12301.443368877965</v>
      </c>
      <c r="V41" s="24">
        <f t="shared" ca="1" si="21"/>
        <v>12229.196843049673</v>
      </c>
      <c r="W41" s="24">
        <f t="shared" ca="1" si="21"/>
        <v>12160.292780206655</v>
      </c>
      <c r="X41" s="24">
        <f t="shared" ca="1" si="21"/>
        <v>12093.893840130502</v>
      </c>
      <c r="Y41" s="24">
        <f t="shared" ca="1" si="21"/>
        <v>12027.556480012528</v>
      </c>
      <c r="Z41" s="24">
        <f t="shared" ca="1" si="21"/>
        <v>11969.164336712687</v>
      </c>
      <c r="AA41" s="24">
        <f t="shared" ca="1" si="21"/>
        <v>11908.756705009155</v>
      </c>
      <c r="AB41" s="24">
        <f t="shared" ca="1" si="21"/>
        <v>11845.599783985957</v>
      </c>
      <c r="AC41" s="24">
        <f t="shared" ca="1" si="21"/>
        <v>11779.67495450668</v>
      </c>
      <c r="AD41" s="24">
        <f t="shared" ca="1" si="21"/>
        <v>11713.0512943497</v>
      </c>
      <c r="AE41" s="24">
        <f t="shared" ca="1" si="21"/>
        <v>11643.727710867599</v>
      </c>
      <c r="AF41" s="24">
        <f t="shared" si="21"/>
        <v>11572.686682691554</v>
      </c>
      <c r="AG41" s="25">
        <f t="shared" ca="1" si="18"/>
        <v>0.92153720928864169</v>
      </c>
    </row>
    <row r="42" spans="1:33">
      <c r="A42" s="2"/>
      <c r="B42" s="2" t="s">
        <v>46</v>
      </c>
      <c r="C42" s="24">
        <f t="shared" ref="C42:AF42" ca="1" si="22">C26*C$19</f>
        <v>1051.8450733127784</v>
      </c>
      <c r="D42" s="24">
        <f t="shared" ca="1" si="22"/>
        <v>1055.733788427068</v>
      </c>
      <c r="E42" s="24">
        <f t="shared" ca="1" si="22"/>
        <v>1067.752736990838</v>
      </c>
      <c r="F42" s="24">
        <f t="shared" ca="1" si="22"/>
        <v>1069.2982144647799</v>
      </c>
      <c r="G42" s="24">
        <f t="shared" ca="1" si="22"/>
        <v>1073.4750987004345</v>
      </c>
      <c r="H42" s="24">
        <f t="shared" ca="1" si="22"/>
        <v>1075.6381262434759</v>
      </c>
      <c r="I42" s="24">
        <f t="shared" ca="1" si="22"/>
        <v>1079.7572464517052</v>
      </c>
      <c r="J42" s="24">
        <f t="shared" ca="1" si="22"/>
        <v>1081.2272585476899</v>
      </c>
      <c r="K42" s="24">
        <f t="shared" ca="1" si="22"/>
        <v>1082.5592206037616</v>
      </c>
      <c r="L42" s="24">
        <f t="shared" ca="1" si="22"/>
        <v>1082.1460671534635</v>
      </c>
      <c r="M42" s="24">
        <f t="shared" ca="1" si="22"/>
        <v>1076.5076959838916</v>
      </c>
      <c r="N42" s="24">
        <f t="shared" ca="1" si="22"/>
        <v>1071.0648187254587</v>
      </c>
      <c r="O42" s="24">
        <f t="shared" ca="1" si="22"/>
        <v>1066.6383411297506</v>
      </c>
      <c r="P42" s="24">
        <f t="shared" ca="1" si="22"/>
        <v>1061.7087534180075</v>
      </c>
      <c r="Q42" s="24">
        <f t="shared" ca="1" si="22"/>
        <v>1057.5069270103788</v>
      </c>
      <c r="R42" s="24">
        <f t="shared" ca="1" si="22"/>
        <v>1052.6701976527058</v>
      </c>
      <c r="S42" s="24">
        <f t="shared" ca="1" si="22"/>
        <v>1047.9478965776491</v>
      </c>
      <c r="T42" s="24">
        <f t="shared" ca="1" si="22"/>
        <v>1042.6704200527947</v>
      </c>
      <c r="U42" s="24">
        <f t="shared" ca="1" si="22"/>
        <v>1039.0385449422342</v>
      </c>
      <c r="V42" s="24">
        <f t="shared" ca="1" si="22"/>
        <v>1034.0532328742634</v>
      </c>
      <c r="W42" s="24">
        <f t="shared" ca="1" si="22"/>
        <v>1029.8386087106312</v>
      </c>
      <c r="X42" s="24">
        <f t="shared" ca="1" si="22"/>
        <v>1026.1208547317899</v>
      </c>
      <c r="Y42" s="24">
        <f t="shared" ca="1" si="22"/>
        <v>1021.3326627870883</v>
      </c>
      <c r="Z42" s="24">
        <f t="shared" ca="1" si="22"/>
        <v>1016.5253483896822</v>
      </c>
      <c r="AA42" s="24">
        <f t="shared" ca="1" si="22"/>
        <v>1012.5990991722035</v>
      </c>
      <c r="AB42" s="24">
        <f t="shared" ca="1" si="22"/>
        <v>1008.0055769295435</v>
      </c>
      <c r="AC42" s="24">
        <f t="shared" ca="1" si="22"/>
        <v>1004.4723503081807</v>
      </c>
      <c r="AD42" s="24">
        <f t="shared" ca="1" si="22"/>
        <v>1001.3501093041478</v>
      </c>
      <c r="AE42" s="24">
        <f t="shared" ca="1" si="22"/>
        <v>998.06615951026936</v>
      </c>
      <c r="AF42" s="24">
        <f t="shared" si="22"/>
        <v>994.81084965885032</v>
      </c>
      <c r="AG42" s="25">
        <f t="shared" ca="1" si="18"/>
        <v>0.94577697314843223</v>
      </c>
    </row>
    <row r="43" spans="1:33">
      <c r="A43" s="2"/>
      <c r="B43" s="2" t="s">
        <v>47</v>
      </c>
      <c r="C43" s="24">
        <f t="shared" ref="C43:AF43" ca="1" si="23">C27*C$19</f>
        <v>1005.789513703323</v>
      </c>
      <c r="D43" s="24">
        <f t="shared" ca="1" si="23"/>
        <v>1038.6979734916381</v>
      </c>
      <c r="E43" s="24">
        <f t="shared" ca="1" si="23"/>
        <v>1095.7306147297454</v>
      </c>
      <c r="F43" s="24">
        <f t="shared" ca="1" si="23"/>
        <v>1091.0339003669894</v>
      </c>
      <c r="G43" s="24">
        <f t="shared" ca="1" si="23"/>
        <v>1087.7695056659161</v>
      </c>
      <c r="H43" s="24">
        <f t="shared" ca="1" si="23"/>
        <v>1084.6366553151627</v>
      </c>
      <c r="I43" s="24">
        <f t="shared" ca="1" si="23"/>
        <v>1093.7836929415128</v>
      </c>
      <c r="J43" s="24">
        <f t="shared" ca="1" si="23"/>
        <v>1096.0969257784916</v>
      </c>
      <c r="K43" s="24">
        <f t="shared" ca="1" si="23"/>
        <v>1094.2920087504249</v>
      </c>
      <c r="L43" s="24">
        <f t="shared" ca="1" si="23"/>
        <v>1092.066962081205</v>
      </c>
      <c r="M43" s="24">
        <f t="shared" ca="1" si="23"/>
        <v>1082.1344058874017</v>
      </c>
      <c r="N43" s="24">
        <f t="shared" ca="1" si="23"/>
        <v>1072.3080744639676</v>
      </c>
      <c r="O43" s="24">
        <f t="shared" ca="1" si="23"/>
        <v>1062.8610499854499</v>
      </c>
      <c r="P43" s="24">
        <f t="shared" ca="1" si="23"/>
        <v>1054.3334047739511</v>
      </c>
      <c r="Q43" s="24">
        <f t="shared" ca="1" si="23"/>
        <v>1045.6233007195669</v>
      </c>
      <c r="R43" s="24">
        <f t="shared" ca="1" si="23"/>
        <v>1036.3963175042486</v>
      </c>
      <c r="S43" s="24">
        <f t="shared" ca="1" si="23"/>
        <v>1026.0568922021323</v>
      </c>
      <c r="T43" s="24">
        <f t="shared" ca="1" si="23"/>
        <v>1016.092808474659</v>
      </c>
      <c r="U43" s="24">
        <f t="shared" ca="1" si="23"/>
        <v>1007.0957135401368</v>
      </c>
      <c r="V43" s="24">
        <f t="shared" ca="1" si="23"/>
        <v>997.59686290897025</v>
      </c>
      <c r="W43" s="24">
        <f t="shared" ca="1" si="23"/>
        <v>988.45852557473631</v>
      </c>
      <c r="X43" s="24">
        <f t="shared" ca="1" si="23"/>
        <v>980.26289445538828</v>
      </c>
      <c r="Y43" s="24">
        <f t="shared" ca="1" si="23"/>
        <v>971.17561344410922</v>
      </c>
      <c r="Z43" s="24">
        <f t="shared" ca="1" si="23"/>
        <v>961.21127438157305</v>
      </c>
      <c r="AA43" s="24">
        <f t="shared" ca="1" si="23"/>
        <v>951.73389149742866</v>
      </c>
      <c r="AB43" s="24">
        <f t="shared" ca="1" si="23"/>
        <v>942.67188212855456</v>
      </c>
      <c r="AC43" s="24">
        <f t="shared" ca="1" si="23"/>
        <v>934.52745030571191</v>
      </c>
      <c r="AD43" s="24">
        <f t="shared" ca="1" si="23"/>
        <v>927.4126233404952</v>
      </c>
      <c r="AE43" s="24">
        <f t="shared" ca="1" si="23"/>
        <v>920.87080034996302</v>
      </c>
      <c r="AF43" s="24">
        <f t="shared" si="23"/>
        <v>914.7678780487804</v>
      </c>
      <c r="AG43" s="25">
        <f t="shared" ca="1" si="18"/>
        <v>0.90950230200810067</v>
      </c>
    </row>
    <row r="44" spans="1:33">
      <c r="A44" s="2" t="s">
        <v>48</v>
      </c>
      <c r="B44" s="2" t="s">
        <v>44</v>
      </c>
      <c r="C44" s="24">
        <f t="shared" ref="C44:AF44" ca="1" si="24">C28*C$19</f>
        <v>3386861609.924818</v>
      </c>
      <c r="D44" s="24">
        <f t="shared" ca="1" si="24"/>
        <v>3477852041.5328503</v>
      </c>
      <c r="E44" s="24">
        <f t="shared" ca="1" si="24"/>
        <v>3577619468.0741038</v>
      </c>
      <c r="F44" s="24">
        <f t="shared" ca="1" si="24"/>
        <v>3584383242.5687137</v>
      </c>
      <c r="G44" s="24">
        <f t="shared" ca="1" si="24"/>
        <v>3618415078.0947461</v>
      </c>
      <c r="H44" s="24">
        <f t="shared" ca="1" si="24"/>
        <v>3653689353.7294221</v>
      </c>
      <c r="I44" s="24">
        <f t="shared" ca="1" si="24"/>
        <v>3665543539.9745426</v>
      </c>
      <c r="J44" s="24">
        <f t="shared" ca="1" si="24"/>
        <v>3675436175.1593881</v>
      </c>
      <c r="K44" s="24">
        <f t="shared" ca="1" si="24"/>
        <v>3698518111.5911121</v>
      </c>
      <c r="L44" s="24">
        <f t="shared" ca="1" si="24"/>
        <v>3709662335.4901824</v>
      </c>
      <c r="M44" s="24">
        <f t="shared" ca="1" si="24"/>
        <v>3702715852.2087212</v>
      </c>
      <c r="N44" s="24">
        <f t="shared" ca="1" si="24"/>
        <v>3698658568.5860066</v>
      </c>
      <c r="O44" s="24">
        <f t="shared" ca="1" si="24"/>
        <v>3690992805.8071189</v>
      </c>
      <c r="P44" s="24">
        <f t="shared" ca="1" si="24"/>
        <v>3681370878.6936407</v>
      </c>
      <c r="Q44" s="24">
        <f t="shared" ca="1" si="24"/>
        <v>3674604056.5327802</v>
      </c>
      <c r="R44" s="24">
        <f t="shared" ca="1" si="24"/>
        <v>3667916003.4816775</v>
      </c>
      <c r="S44" s="24">
        <f t="shared" ca="1" si="24"/>
        <v>3669440351.160109</v>
      </c>
      <c r="T44" s="24">
        <f t="shared" ca="1" si="24"/>
        <v>3667523650.1949859</v>
      </c>
      <c r="U44" s="24">
        <f t="shared" ca="1" si="24"/>
        <v>3662166285.0155473</v>
      </c>
      <c r="V44" s="24">
        <f t="shared" ca="1" si="24"/>
        <v>3653056904.5122414</v>
      </c>
      <c r="W44" s="24">
        <f t="shared" ca="1" si="24"/>
        <v>3652124132.1674008</v>
      </c>
      <c r="X44" s="24">
        <f t="shared" ca="1" si="24"/>
        <v>3656579665.0055861</v>
      </c>
      <c r="Y44" s="24">
        <f t="shared" ca="1" si="24"/>
        <v>3657770975.0721626</v>
      </c>
      <c r="Z44" s="24">
        <f t="shared" ca="1" si="24"/>
        <v>3653805047.7811642</v>
      </c>
      <c r="AA44" s="24">
        <f t="shared" ca="1" si="24"/>
        <v>3651934260.7713771</v>
      </c>
      <c r="AB44" s="24">
        <f t="shared" ca="1" si="24"/>
        <v>3651669714.5979977</v>
      </c>
      <c r="AC44" s="24">
        <f t="shared" ca="1" si="24"/>
        <v>3642619743.8749795</v>
      </c>
      <c r="AD44" s="24">
        <f t="shared" ca="1" si="24"/>
        <v>3628620774.8577471</v>
      </c>
      <c r="AE44" s="24">
        <f t="shared" ca="1" si="24"/>
        <v>3622423369.3436732</v>
      </c>
      <c r="AF44" s="24">
        <f t="shared" si="24"/>
        <v>3629572393.4549184</v>
      </c>
      <c r="AG44" s="25">
        <f t="shared" ca="1" si="18"/>
        <v>1.0716624449073631</v>
      </c>
    </row>
    <row r="45" spans="1:33">
      <c r="A45" s="2"/>
      <c r="B45" s="2" t="s">
        <v>14</v>
      </c>
      <c r="C45" s="24">
        <f t="shared" ref="C45:AF45" ca="1" si="25">C29*C$19</f>
        <v>22666.212402363821</v>
      </c>
      <c r="D45" s="24">
        <f t="shared" ca="1" si="25"/>
        <v>23171.350601848073</v>
      </c>
      <c r="E45" s="24">
        <f t="shared" ca="1" si="25"/>
        <v>24036.755200104268</v>
      </c>
      <c r="F45" s="24">
        <f t="shared" ca="1" si="25"/>
        <v>24060.568305826437</v>
      </c>
      <c r="G45" s="24">
        <f t="shared" ca="1" si="25"/>
        <v>24164.0325514092</v>
      </c>
      <c r="H45" s="24">
        <f t="shared" ca="1" si="25"/>
        <v>24400.453284409155</v>
      </c>
      <c r="I45" s="24">
        <f t="shared" ca="1" si="25"/>
        <v>24333.721377024198</v>
      </c>
      <c r="J45" s="24">
        <f t="shared" ca="1" si="25"/>
        <v>24282.306209187856</v>
      </c>
      <c r="K45" s="24">
        <f t="shared" ca="1" si="25"/>
        <v>24324.374482848092</v>
      </c>
      <c r="L45" s="24">
        <f t="shared" ca="1" si="25"/>
        <v>24380.808881297038</v>
      </c>
      <c r="M45" s="24">
        <f t="shared" ca="1" si="25"/>
        <v>24250.00823525848</v>
      </c>
      <c r="N45" s="24">
        <f t="shared" ca="1" si="25"/>
        <v>24205.982019479463</v>
      </c>
      <c r="O45" s="24">
        <f t="shared" ca="1" si="25"/>
        <v>24074.18737908695</v>
      </c>
      <c r="P45" s="24">
        <f t="shared" ca="1" si="25"/>
        <v>23956.225040138739</v>
      </c>
      <c r="Q45" s="24">
        <f t="shared" ca="1" si="25"/>
        <v>23918.412308043262</v>
      </c>
      <c r="R45" s="24">
        <f t="shared" ca="1" si="25"/>
        <v>23842.314841068386</v>
      </c>
      <c r="S45" s="24">
        <f t="shared" ca="1" si="25"/>
        <v>23800.62518051959</v>
      </c>
      <c r="T45" s="24">
        <f t="shared" ca="1" si="25"/>
        <v>23792.037484240427</v>
      </c>
      <c r="U45" s="24">
        <f t="shared" ca="1" si="25"/>
        <v>23747.137620401612</v>
      </c>
      <c r="V45" s="24">
        <f t="shared" ca="1" si="25"/>
        <v>23731.115522951142</v>
      </c>
      <c r="W45" s="24">
        <f t="shared" ca="1" si="25"/>
        <v>23773.974366989631</v>
      </c>
      <c r="X45" s="24">
        <f t="shared" ca="1" si="25"/>
        <v>23873.249106570303</v>
      </c>
      <c r="Y45" s="24">
        <f t="shared" ca="1" si="25"/>
        <v>24004.306207970385</v>
      </c>
      <c r="Z45" s="24">
        <f t="shared" ca="1" si="25"/>
        <v>24010.056035748974</v>
      </c>
      <c r="AA45" s="24">
        <f t="shared" ca="1" si="25"/>
        <v>24157.895817458233</v>
      </c>
      <c r="AB45" s="24">
        <f t="shared" ca="1" si="25"/>
        <v>24215.531236032293</v>
      </c>
      <c r="AC45" s="24">
        <f t="shared" ca="1" si="25"/>
        <v>24188.663250217389</v>
      </c>
      <c r="AD45" s="24">
        <f t="shared" ca="1" si="25"/>
        <v>24208.61291918897</v>
      </c>
      <c r="AE45" s="24">
        <f t="shared" ca="1" si="25"/>
        <v>24236.511650694632</v>
      </c>
      <c r="AF45" s="24">
        <f t="shared" si="25"/>
        <v>24380.313129872167</v>
      </c>
      <c r="AG45" s="25">
        <f t="shared" ca="1" si="18"/>
        <v>1.0756236064976425</v>
      </c>
    </row>
    <row r="46" spans="1:33">
      <c r="A46" s="2"/>
      <c r="B46" s="2" t="s">
        <v>47</v>
      </c>
      <c r="C46" s="24">
        <f t="shared" ref="C46:AF46" ca="1" si="26">C30*C$19</f>
        <v>2483.1796219595753</v>
      </c>
      <c r="D46" s="24">
        <f t="shared" ca="1" si="26"/>
        <v>2552.6604167125138</v>
      </c>
      <c r="E46" s="24">
        <f t="shared" ca="1" si="26"/>
        <v>2563.3164552281028</v>
      </c>
      <c r="F46" s="24">
        <f t="shared" ca="1" si="26"/>
        <v>2566.0649183396777</v>
      </c>
      <c r="G46" s="24">
        <f t="shared" ca="1" si="26"/>
        <v>2584.3590505446055</v>
      </c>
      <c r="H46" s="24">
        <f t="shared" ca="1" si="26"/>
        <v>2600.7144137960777</v>
      </c>
      <c r="I46" s="24">
        <f t="shared" ca="1" si="26"/>
        <v>2601.5220156220234</v>
      </c>
      <c r="J46" s="24">
        <f t="shared" ca="1" si="26"/>
        <v>2601.6332802361026</v>
      </c>
      <c r="K46" s="24">
        <f t="shared" ca="1" si="26"/>
        <v>2606.8439473244698</v>
      </c>
      <c r="L46" s="24">
        <f t="shared" ca="1" si="26"/>
        <v>2617.2997590356413</v>
      </c>
      <c r="M46" s="24">
        <f t="shared" ca="1" si="26"/>
        <v>2609.6819463588336</v>
      </c>
      <c r="N46" s="24">
        <f t="shared" ca="1" si="26"/>
        <v>2611.8040275542976</v>
      </c>
      <c r="O46" s="24">
        <f t="shared" ca="1" si="26"/>
        <v>2605.8501434219388</v>
      </c>
      <c r="P46" s="24">
        <f t="shared" ca="1" si="26"/>
        <v>2596.8056253600789</v>
      </c>
      <c r="Q46" s="24">
        <f t="shared" ca="1" si="26"/>
        <v>2591.0379700127155</v>
      </c>
      <c r="R46" s="24">
        <f t="shared" ca="1" si="26"/>
        <v>2584.7108317116313</v>
      </c>
      <c r="S46" s="24">
        <f t="shared" ca="1" si="26"/>
        <v>2586.3617316791447</v>
      </c>
      <c r="T46" s="24">
        <f t="shared" ca="1" si="26"/>
        <v>2591.7177963794684</v>
      </c>
      <c r="U46" s="24">
        <f t="shared" ca="1" si="26"/>
        <v>2595.6704951816541</v>
      </c>
      <c r="V46" s="24">
        <f t="shared" ca="1" si="26"/>
        <v>2596.1294329088851</v>
      </c>
      <c r="W46" s="24">
        <f t="shared" ca="1" si="26"/>
        <v>2595.5164526952808</v>
      </c>
      <c r="X46" s="24">
        <f t="shared" ca="1" si="26"/>
        <v>2595.6128114281219</v>
      </c>
      <c r="Y46" s="24">
        <f t="shared" ca="1" si="26"/>
        <v>2594.2629278046084</v>
      </c>
      <c r="Z46" s="24">
        <f t="shared" ca="1" si="26"/>
        <v>2593.7518885648374</v>
      </c>
      <c r="AA46" s="24">
        <f t="shared" ca="1" si="26"/>
        <v>2594.5803258954411</v>
      </c>
      <c r="AB46" s="24">
        <f t="shared" ca="1" si="26"/>
        <v>2595.5760042169791</v>
      </c>
      <c r="AC46" s="24">
        <f t="shared" ca="1" si="26"/>
        <v>2593.7476509097296</v>
      </c>
      <c r="AD46" s="24">
        <f t="shared" ca="1" si="26"/>
        <v>2591.7966636600158</v>
      </c>
      <c r="AE46" s="24">
        <f t="shared" ca="1" si="26"/>
        <v>2592.8077764584737</v>
      </c>
      <c r="AF46" s="24">
        <f t="shared" si="26"/>
        <v>2598.1109979609441</v>
      </c>
      <c r="AG46" s="25">
        <f t="shared" ca="1" si="18"/>
        <v>1.0462839558544186</v>
      </c>
    </row>
    <row r="47" spans="1:33">
      <c r="A47" s="2"/>
      <c r="B47" s="2" t="s">
        <v>49</v>
      </c>
      <c r="C47" s="24">
        <f t="shared" ref="C47:AF47" ca="1" si="27">C31*C$19</f>
        <v>5735.9664006509083</v>
      </c>
      <c r="D47" s="24">
        <f t="shared" ca="1" si="27"/>
        <v>6618.6574711992944</v>
      </c>
      <c r="E47" s="24">
        <f t="shared" ca="1" si="27"/>
        <v>6797.7195333141781</v>
      </c>
      <c r="F47" s="24">
        <f t="shared" ca="1" si="27"/>
        <v>6648.5422566581719</v>
      </c>
      <c r="G47" s="24">
        <f t="shared" ca="1" si="27"/>
        <v>6589.0940517568197</v>
      </c>
      <c r="H47" s="24">
        <f t="shared" ca="1" si="27"/>
        <v>6696.8587984357109</v>
      </c>
      <c r="I47" s="24">
        <f t="shared" ca="1" si="27"/>
        <v>6584.6839021480273</v>
      </c>
      <c r="J47" s="24">
        <f t="shared" ca="1" si="27"/>
        <v>6475.1466885378268</v>
      </c>
      <c r="K47" s="24">
        <f t="shared" ca="1" si="27"/>
        <v>6380.3320969704573</v>
      </c>
      <c r="L47" s="24">
        <f t="shared" ca="1" si="27"/>
        <v>6275.9441581979772</v>
      </c>
      <c r="M47" s="24">
        <f t="shared" ca="1" si="27"/>
        <v>6153.3977367003354</v>
      </c>
      <c r="N47" s="24">
        <f t="shared" ca="1" si="27"/>
        <v>6095.6138161461213</v>
      </c>
      <c r="O47" s="24">
        <f t="shared" ca="1" si="27"/>
        <v>6015.7825544343168</v>
      </c>
      <c r="P47" s="24">
        <f t="shared" ca="1" si="27"/>
        <v>5971.300791076771</v>
      </c>
      <c r="Q47" s="24">
        <f t="shared" ca="1" si="27"/>
        <v>5914.5826645910865</v>
      </c>
      <c r="R47" s="24">
        <f t="shared" ca="1" si="27"/>
        <v>5874.2629953303094</v>
      </c>
      <c r="S47" s="24">
        <f t="shared" ca="1" si="27"/>
        <v>5855.3736182095236</v>
      </c>
      <c r="T47" s="24">
        <f t="shared" ca="1" si="27"/>
        <v>5828.3767299992269</v>
      </c>
      <c r="U47" s="24">
        <f t="shared" ca="1" si="27"/>
        <v>5747.1196930746446</v>
      </c>
      <c r="V47" s="24">
        <f t="shared" ca="1" si="27"/>
        <v>5649.5485499476417</v>
      </c>
      <c r="W47" s="24">
        <f t="shared" ca="1" si="27"/>
        <v>5600.2359497344123</v>
      </c>
      <c r="X47" s="24">
        <f t="shared" ca="1" si="27"/>
        <v>5561.8128146625495</v>
      </c>
      <c r="Y47" s="24">
        <f t="shared" ca="1" si="27"/>
        <v>5501.6175923758183</v>
      </c>
      <c r="Z47" s="24">
        <f t="shared" ca="1" si="27"/>
        <v>5419.422248642647</v>
      </c>
      <c r="AA47" s="24">
        <f t="shared" ca="1" si="27"/>
        <v>5320.9817087507172</v>
      </c>
      <c r="AB47" s="24">
        <f t="shared" ca="1" si="27"/>
        <v>5241.3988617740533</v>
      </c>
      <c r="AC47" s="24">
        <f t="shared" ca="1" si="27"/>
        <v>5145.5283618179783</v>
      </c>
      <c r="AD47" s="24">
        <f t="shared" ca="1" si="27"/>
        <v>5004.0941098992907</v>
      </c>
      <c r="AE47" s="24">
        <f t="shared" ca="1" si="27"/>
        <v>4918.9235174804853</v>
      </c>
      <c r="AF47" s="24">
        <f t="shared" si="27"/>
        <v>4891.3202307270021</v>
      </c>
      <c r="AG47" s="25">
        <f t="shared" ca="1" si="18"/>
        <v>0.85274562106429752</v>
      </c>
    </row>
    <row r="48" spans="1:33">
      <c r="A48" s="2" t="s">
        <v>50</v>
      </c>
      <c r="B48" s="2" t="s">
        <v>46</v>
      </c>
      <c r="C48" s="24">
        <f t="shared" ref="C48:AF48" ca="1" si="28">C32*C$19</f>
        <v>38071.276101233299</v>
      </c>
      <c r="D48" s="24">
        <f t="shared" ca="1" si="28"/>
        <v>39220.131280100686</v>
      </c>
      <c r="E48" s="24">
        <f t="shared" ca="1" si="28"/>
        <v>39963.475288175861</v>
      </c>
      <c r="F48" s="24">
        <f t="shared" ca="1" si="28"/>
        <v>39830.435418818808</v>
      </c>
      <c r="G48" s="24">
        <f t="shared" ca="1" si="28"/>
        <v>39646.618515387403</v>
      </c>
      <c r="H48" s="24">
        <f t="shared" ca="1" si="28"/>
        <v>39369.262249022322</v>
      </c>
      <c r="I48" s="24">
        <f t="shared" ca="1" si="28"/>
        <v>39025.830916912746</v>
      </c>
      <c r="J48" s="24">
        <f t="shared" ca="1" si="28"/>
        <v>38658.412184957851</v>
      </c>
      <c r="K48" s="24">
        <f t="shared" ca="1" si="28"/>
        <v>38328.714220335351</v>
      </c>
      <c r="L48" s="24">
        <f t="shared" ca="1" si="28"/>
        <v>38044.186756886251</v>
      </c>
      <c r="M48" s="24">
        <f t="shared" ca="1" si="28"/>
        <v>37552.036706036786</v>
      </c>
      <c r="N48" s="24">
        <f t="shared" ca="1" si="28"/>
        <v>37048.261240170898</v>
      </c>
      <c r="O48" s="24">
        <f t="shared" ca="1" si="28"/>
        <v>36617.197708893917</v>
      </c>
      <c r="P48" s="24">
        <f t="shared" ca="1" si="28"/>
        <v>36205.381622877183</v>
      </c>
      <c r="Q48" s="24">
        <f t="shared" ca="1" si="28"/>
        <v>35793.618200797842</v>
      </c>
      <c r="R48" s="24">
        <f t="shared" ca="1" si="28"/>
        <v>35412.368361885128</v>
      </c>
      <c r="S48" s="24">
        <f t="shared" ca="1" si="28"/>
        <v>35078.454302800732</v>
      </c>
      <c r="T48" s="24">
        <f t="shared" ca="1" si="28"/>
        <v>34765.786393431918</v>
      </c>
      <c r="U48" s="24">
        <f t="shared" ca="1" si="28"/>
        <v>34490.2888087178</v>
      </c>
      <c r="V48" s="24">
        <f t="shared" ca="1" si="28"/>
        <v>34239.664165446862</v>
      </c>
      <c r="W48" s="24">
        <f t="shared" ca="1" si="28"/>
        <v>34005.429811690425</v>
      </c>
      <c r="X48" s="24">
        <f t="shared" ca="1" si="28"/>
        <v>33792.025420599173</v>
      </c>
      <c r="Y48" s="24">
        <f t="shared" ca="1" si="28"/>
        <v>33591.124510952213</v>
      </c>
      <c r="Z48" s="24">
        <f t="shared" ca="1" si="28"/>
        <v>33412.931663164869</v>
      </c>
      <c r="AA48" s="24">
        <f t="shared" ca="1" si="28"/>
        <v>33259.397463524605</v>
      </c>
      <c r="AB48" s="24">
        <f t="shared" ca="1" si="28"/>
        <v>33139.397960150935</v>
      </c>
      <c r="AC48" s="24">
        <f t="shared" ca="1" si="28"/>
        <v>33018.062322619931</v>
      </c>
      <c r="AD48" s="24">
        <f t="shared" ca="1" si="28"/>
        <v>32900.283799095829</v>
      </c>
      <c r="AE48" s="24">
        <f t="shared" ca="1" si="28"/>
        <v>32812.054132931567</v>
      </c>
      <c r="AF48" s="24">
        <f t="shared" si="28"/>
        <v>32757.539194572972</v>
      </c>
      <c r="AG48" s="25">
        <f t="shared" ca="1" si="18"/>
        <v>0.8604266142135385</v>
      </c>
    </row>
    <row r="49" spans="1:33">
      <c r="A49" s="2"/>
      <c r="B49" s="2" t="s">
        <v>51</v>
      </c>
      <c r="C49" s="24">
        <f t="shared" ref="C49:AF49" ca="1" si="29">C33*C$19</f>
        <v>16789.648033915724</v>
      </c>
      <c r="D49" s="24">
        <f t="shared" ca="1" si="29"/>
        <v>16920.040927807455</v>
      </c>
      <c r="E49" s="24">
        <f t="shared" ca="1" si="29"/>
        <v>17114.457554470078</v>
      </c>
      <c r="F49" s="24">
        <f t="shared" ca="1" si="29"/>
        <v>16969.927771170122</v>
      </c>
      <c r="G49" s="24">
        <f t="shared" ca="1" si="29"/>
        <v>16898.917643406799</v>
      </c>
      <c r="H49" s="24">
        <f t="shared" ca="1" si="29"/>
        <v>16786.372325015243</v>
      </c>
      <c r="I49" s="24">
        <f t="shared" ca="1" si="29"/>
        <v>16611.778776147839</v>
      </c>
      <c r="J49" s="24">
        <f t="shared" ca="1" si="29"/>
        <v>16433.914337095561</v>
      </c>
      <c r="K49" s="24">
        <f t="shared" ca="1" si="29"/>
        <v>16246.210167820864</v>
      </c>
      <c r="L49" s="24">
        <f t="shared" ca="1" si="29"/>
        <v>16058.994538809897</v>
      </c>
      <c r="M49" s="24">
        <f t="shared" ca="1" si="29"/>
        <v>15746.382397750054</v>
      </c>
      <c r="N49" s="24">
        <f t="shared" ca="1" si="29"/>
        <v>15470.590921662597</v>
      </c>
      <c r="O49" s="24">
        <f t="shared" ca="1" si="29"/>
        <v>15217.74452809679</v>
      </c>
      <c r="P49" s="24">
        <f t="shared" ca="1" si="29"/>
        <v>14958.709435981271</v>
      </c>
      <c r="Q49" s="24">
        <f t="shared" ca="1" si="29"/>
        <v>14723.269722828571</v>
      </c>
      <c r="R49" s="24">
        <f t="shared" ca="1" si="29"/>
        <v>14495.300359120372</v>
      </c>
      <c r="S49" s="24">
        <f t="shared" ca="1" si="29"/>
        <v>14306.107111001013</v>
      </c>
      <c r="T49" s="24">
        <f t="shared" ca="1" si="29"/>
        <v>14132.745123551516</v>
      </c>
      <c r="U49" s="24">
        <f t="shared" ca="1" si="29"/>
        <v>13953.50535804631</v>
      </c>
      <c r="V49" s="24">
        <f t="shared" ca="1" si="29"/>
        <v>13793.58458828137</v>
      </c>
      <c r="W49" s="24">
        <f t="shared" ca="1" si="29"/>
        <v>13641.699756471697</v>
      </c>
      <c r="X49" s="24">
        <f t="shared" ca="1" si="29"/>
        <v>13520.781911807768</v>
      </c>
      <c r="Y49" s="24">
        <f t="shared" ca="1" si="29"/>
        <v>13405.316050436384</v>
      </c>
      <c r="Z49" s="24">
        <f t="shared" ca="1" si="29"/>
        <v>13281.322732517207</v>
      </c>
      <c r="AA49" s="24">
        <f t="shared" ca="1" si="29"/>
        <v>13156.075696925051</v>
      </c>
      <c r="AB49" s="24">
        <f t="shared" ca="1" si="29"/>
        <v>13045.067607421332</v>
      </c>
      <c r="AC49" s="24">
        <f t="shared" ca="1" si="29"/>
        <v>12914.24481881945</v>
      </c>
      <c r="AD49" s="24">
        <f t="shared" ca="1" si="29"/>
        <v>12765.632681353214</v>
      </c>
      <c r="AE49" s="24">
        <f t="shared" ca="1" si="29"/>
        <v>12643.807115278545</v>
      </c>
      <c r="AF49" s="24">
        <f t="shared" si="29"/>
        <v>12549.598947611952</v>
      </c>
      <c r="AG49" s="25">
        <f t="shared" ca="1" si="18"/>
        <v>0.74746051389887913</v>
      </c>
    </row>
    <row r="50" spans="1:33">
      <c r="A50" s="2"/>
      <c r="B50" s="2" t="s">
        <v>14</v>
      </c>
      <c r="C50" s="24">
        <f t="shared" ref="C50:AF50" ca="1" si="30">C34*C$19</f>
        <v>2902.125443987667</v>
      </c>
      <c r="D50" s="24">
        <f t="shared" ca="1" si="30"/>
        <v>2869.1789048189494</v>
      </c>
      <c r="E50" s="24">
        <f t="shared" ca="1" si="30"/>
        <v>2914.2926677587243</v>
      </c>
      <c r="F50" s="24">
        <f t="shared" ca="1" si="30"/>
        <v>2924.773401386075</v>
      </c>
      <c r="G50" s="24">
        <f t="shared" ca="1" si="30"/>
        <v>2905.3905123449822</v>
      </c>
      <c r="H50" s="24">
        <f t="shared" ca="1" si="30"/>
        <v>2896.8288006899529</v>
      </c>
      <c r="I50" s="24">
        <f t="shared" ca="1" si="30"/>
        <v>2895.8680419603734</v>
      </c>
      <c r="J50" s="24">
        <f t="shared" ca="1" si="30"/>
        <v>2967.6504881755095</v>
      </c>
      <c r="K50" s="24">
        <f t="shared" ca="1" si="30"/>
        <v>3070.7081072657757</v>
      </c>
      <c r="L50" s="24">
        <f t="shared" ca="1" si="30"/>
        <v>3144.5743648079433</v>
      </c>
      <c r="M50" s="24">
        <f t="shared" ca="1" si="30"/>
        <v>3225.2162235810874</v>
      </c>
      <c r="N50" s="24">
        <f t="shared" ca="1" si="30"/>
        <v>3303.8830553242792</v>
      </c>
      <c r="O50" s="24">
        <f t="shared" ca="1" si="30"/>
        <v>3384.6588993559653</v>
      </c>
      <c r="P50" s="24">
        <f t="shared" ca="1" si="30"/>
        <v>3479.7987546901645</v>
      </c>
      <c r="Q50" s="24">
        <f t="shared" ca="1" si="30"/>
        <v>3512.3924929483619</v>
      </c>
      <c r="R50" s="24">
        <f t="shared" ca="1" si="30"/>
        <v>3562.4266436183302</v>
      </c>
      <c r="S50" s="24">
        <f t="shared" ca="1" si="30"/>
        <v>3626.3187401565278</v>
      </c>
      <c r="T50" s="24">
        <f t="shared" ca="1" si="30"/>
        <v>3677.1928622151399</v>
      </c>
      <c r="U50" s="24">
        <f t="shared" ca="1" si="30"/>
        <v>3737.1784556195976</v>
      </c>
      <c r="V50" s="24">
        <f t="shared" ca="1" si="30"/>
        <v>3807.9735135124406</v>
      </c>
      <c r="W50" s="24">
        <f t="shared" ca="1" si="30"/>
        <v>3864.3086208477944</v>
      </c>
      <c r="X50" s="24">
        <f t="shared" ca="1" si="30"/>
        <v>3897.2080514670142</v>
      </c>
      <c r="Y50" s="24">
        <f t="shared" ca="1" si="30"/>
        <v>3947.65864653984</v>
      </c>
      <c r="Z50" s="24">
        <f t="shared" ca="1" si="30"/>
        <v>3991.8538806670031</v>
      </c>
      <c r="AA50" s="24">
        <f t="shared" ca="1" si="30"/>
        <v>4028.2226937872329</v>
      </c>
      <c r="AB50" s="24">
        <f t="shared" ca="1" si="30"/>
        <v>4071.8490120831602</v>
      </c>
      <c r="AC50" s="24">
        <f t="shared" ca="1" si="30"/>
        <v>4127.3849628729513</v>
      </c>
      <c r="AD50" s="24">
        <f t="shared" ca="1" si="30"/>
        <v>4183.824430290555</v>
      </c>
      <c r="AE50" s="24">
        <f t="shared" ca="1" si="30"/>
        <v>4214.0990605343459</v>
      </c>
      <c r="AF50" s="24">
        <f t="shared" si="30"/>
        <v>4258.7992658615012</v>
      </c>
      <c r="AG50" s="25">
        <f t="shared" ca="1" si="18"/>
        <v>1.4674759406711571</v>
      </c>
    </row>
    <row r="51" spans="1:33">
      <c r="B51" s="2" t="s">
        <v>44</v>
      </c>
      <c r="C51" s="24">
        <f t="shared" ref="C51:AF51" ca="1" si="31">C35*C$19</f>
        <v>5217149.6186002055</v>
      </c>
      <c r="D51" s="24">
        <f t="shared" ca="1" si="31"/>
        <v>7143206.6230706684</v>
      </c>
      <c r="E51" s="24">
        <f t="shared" ca="1" si="31"/>
        <v>9370784.8174033631</v>
      </c>
      <c r="F51" s="24">
        <f t="shared" ca="1" si="31"/>
        <v>11829238.393516216</v>
      </c>
      <c r="G51" s="24">
        <f t="shared" ca="1" si="31"/>
        <v>14447196.604281342</v>
      </c>
      <c r="H51" s="24">
        <f t="shared" ca="1" si="31"/>
        <v>17218399.727691442</v>
      </c>
      <c r="I51" s="24">
        <f t="shared" ca="1" si="31"/>
        <v>20033929.41833654</v>
      </c>
      <c r="J51" s="24">
        <f t="shared" ca="1" si="31"/>
        <v>22829181.452512097</v>
      </c>
      <c r="K51" s="24">
        <f t="shared" ca="1" si="31"/>
        <v>25644915.502310634</v>
      </c>
      <c r="L51" s="24">
        <f t="shared" ca="1" si="31"/>
        <v>28498040.500333998</v>
      </c>
      <c r="M51" s="24">
        <f t="shared" ca="1" si="31"/>
        <v>31170091.113043495</v>
      </c>
      <c r="N51" s="24">
        <f t="shared" ca="1" si="31"/>
        <v>33762835.49047076</v>
      </c>
      <c r="O51" s="24">
        <f t="shared" ca="1" si="31"/>
        <v>36337034.307770602</v>
      </c>
      <c r="P51" s="24">
        <f t="shared" ca="1" si="31"/>
        <v>38891577.156705879</v>
      </c>
      <c r="Q51" s="24">
        <f t="shared" ca="1" si="31"/>
        <v>41388461.71406924</v>
      </c>
      <c r="R51" s="24">
        <f t="shared" ca="1" si="31"/>
        <v>43857160.278932147</v>
      </c>
      <c r="S51" s="24">
        <f t="shared" ca="1" si="31"/>
        <v>46310265.444969818</v>
      </c>
      <c r="T51" s="24">
        <f t="shared" ca="1" si="31"/>
        <v>48738578.0348197</v>
      </c>
      <c r="U51" s="24">
        <f t="shared" ca="1" si="31"/>
        <v>51138451.047043599</v>
      </c>
      <c r="V51" s="24">
        <f t="shared" ca="1" si="31"/>
        <v>53514297.546755858</v>
      </c>
      <c r="W51" s="24">
        <f t="shared" ca="1" si="31"/>
        <v>55824146.119870625</v>
      </c>
      <c r="X51" s="24">
        <f t="shared" ca="1" si="31"/>
        <v>58084815.418194488</v>
      </c>
      <c r="Y51" s="24">
        <f t="shared" ca="1" si="31"/>
        <v>60338925.226952501</v>
      </c>
      <c r="Z51" s="24">
        <f t="shared" ca="1" si="31"/>
        <v>62604755.677969709</v>
      </c>
      <c r="AA51" s="24">
        <f t="shared" ca="1" si="31"/>
        <v>64787605.246711172</v>
      </c>
      <c r="AB51" s="24">
        <f t="shared" ca="1" si="31"/>
        <v>66954412.361439131</v>
      </c>
      <c r="AC51" s="24">
        <f t="shared" ca="1" si="31"/>
        <v>69063143.245005161</v>
      </c>
      <c r="AD51" s="24">
        <f t="shared" ca="1" si="31"/>
        <v>71119777.707400814</v>
      </c>
      <c r="AE51" s="24">
        <f t="shared" ca="1" si="31"/>
        <v>73177042.378283724</v>
      </c>
      <c r="AF51" s="24">
        <f t="shared" si="31"/>
        <v>75242450.399061248</v>
      </c>
      <c r="AG51" s="25">
        <f ca="1">AF51/D51</f>
        <v>10.533427684430691</v>
      </c>
    </row>
    <row r="52" spans="1:33">
      <c r="B52" s="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B53" s="23" t="s">
        <v>55</v>
      </c>
      <c r="C53" s="23">
        <v>2021</v>
      </c>
      <c r="D53" s="23">
        <v>2022</v>
      </c>
      <c r="E53" s="23">
        <v>2023</v>
      </c>
      <c r="F53" s="23">
        <v>2024</v>
      </c>
      <c r="G53" s="23">
        <v>2025</v>
      </c>
      <c r="H53" s="23">
        <v>2026</v>
      </c>
      <c r="I53" s="23">
        <v>2027</v>
      </c>
      <c r="J53" s="23">
        <v>2028</v>
      </c>
      <c r="K53" s="23">
        <v>2029</v>
      </c>
      <c r="L53" s="23">
        <v>2030</v>
      </c>
      <c r="M53" s="23">
        <v>2031</v>
      </c>
      <c r="N53" s="23">
        <v>2032</v>
      </c>
      <c r="O53" s="23">
        <v>2033</v>
      </c>
      <c r="P53" s="23">
        <v>2034</v>
      </c>
      <c r="Q53" s="23">
        <v>2035</v>
      </c>
      <c r="R53" s="23">
        <v>2036</v>
      </c>
      <c r="S53" s="23">
        <v>2037</v>
      </c>
      <c r="T53" s="23">
        <v>2038</v>
      </c>
      <c r="U53" s="23">
        <v>2039</v>
      </c>
      <c r="V53" s="23">
        <v>2040</v>
      </c>
      <c r="W53" s="23">
        <v>2041</v>
      </c>
      <c r="X53" s="23">
        <v>2042</v>
      </c>
      <c r="Y53" s="23">
        <v>2043</v>
      </c>
      <c r="Z53" s="23">
        <v>2044</v>
      </c>
      <c r="AA53" s="23">
        <v>2045</v>
      </c>
      <c r="AB53" s="23">
        <v>2046</v>
      </c>
      <c r="AC53" s="23">
        <v>2047</v>
      </c>
      <c r="AD53" s="23">
        <v>2048</v>
      </c>
      <c r="AE53" s="23">
        <v>2049</v>
      </c>
      <c r="AF53" s="23">
        <v>2050</v>
      </c>
      <c r="AG53" s="23"/>
    </row>
    <row r="54" spans="1:33">
      <c r="A54" s="2" t="s">
        <v>43</v>
      </c>
      <c r="B54" s="2" t="s">
        <v>44</v>
      </c>
      <c r="C54" s="9"/>
      <c r="D54" s="27">
        <f t="shared" ref="D54:AF54" ca="1" si="32">(D38-C38)/D38</f>
        <v>-4.0187297388198533E-2</v>
      </c>
      <c r="E54" s="27">
        <f t="shared" ca="1" si="32"/>
        <v>4.005874029802925E-2</v>
      </c>
      <c r="F54" s="27">
        <f t="shared" ca="1" si="32"/>
        <v>7.7728906678189349E-3</v>
      </c>
      <c r="G54" s="27">
        <f t="shared" ca="1" si="32"/>
        <v>6.0356069343652204E-3</v>
      </c>
      <c r="H54" s="27">
        <f t="shared" ca="1" si="32"/>
        <v>3.7410449902183078E-3</v>
      </c>
      <c r="I54" s="27">
        <f t="shared" ca="1" si="32"/>
        <v>2.7445261308367396E-3</v>
      </c>
      <c r="J54" s="27">
        <f t="shared" ca="1" si="32"/>
        <v>2.7809153615124226E-3</v>
      </c>
      <c r="K54" s="27">
        <f t="shared" ca="1" si="32"/>
        <v>3.174691334599715E-3</v>
      </c>
      <c r="L54" s="27">
        <f t="shared" ca="1" si="32"/>
        <v>1.1813728602244574E-3</v>
      </c>
      <c r="M54" s="27">
        <f t="shared" ca="1" si="32"/>
        <v>-4.932800687179606E-3</v>
      </c>
      <c r="N54" s="27">
        <f t="shared" ca="1" si="32"/>
        <v>-3.9800759339782268E-3</v>
      </c>
      <c r="O54" s="27">
        <f t="shared" ca="1" si="32"/>
        <v>-2.7817721028217312E-3</v>
      </c>
      <c r="P54" s="27">
        <f t="shared" ca="1" si="32"/>
        <v>-1.7387671846843141E-3</v>
      </c>
      <c r="Q54" s="27">
        <f t="shared" ca="1" si="32"/>
        <v>-9.6517978865058997E-4</v>
      </c>
      <c r="R54" s="27">
        <f t="shared" ca="1" si="32"/>
        <v>-7.5443521363953837E-4</v>
      </c>
      <c r="S54" s="27">
        <f t="shared" ca="1" si="32"/>
        <v>-1.6892744529175017E-5</v>
      </c>
      <c r="T54" s="27">
        <f t="shared" ca="1" si="32"/>
        <v>-5.2986869309973612E-5</v>
      </c>
      <c r="U54" s="27">
        <f t="shared" ca="1" si="32"/>
        <v>-1.91009135510781E-4</v>
      </c>
      <c r="V54" s="27">
        <f t="shared" ca="1" si="32"/>
        <v>-9.8748384147952185E-4</v>
      </c>
      <c r="W54" s="27">
        <f t="shared" ca="1" si="32"/>
        <v>-1.3369748167384777E-3</v>
      </c>
      <c r="X54" s="27">
        <f t="shared" ca="1" si="32"/>
        <v>-5.1751746964417522E-4</v>
      </c>
      <c r="Y54" s="27">
        <f t="shared" ca="1" si="32"/>
        <v>6.0228867679333229E-5</v>
      </c>
      <c r="Z54" s="27">
        <f t="shared" ca="1" si="32"/>
        <v>7.5719126734720985E-4</v>
      </c>
      <c r="AA54" s="27">
        <f t="shared" ca="1" si="32"/>
        <v>1.0690391878500406E-3</v>
      </c>
      <c r="AB54" s="27">
        <f t="shared" ca="1" si="32"/>
        <v>1.3610757242688996E-3</v>
      </c>
      <c r="AC54" s="27">
        <f t="shared" ca="1" si="32"/>
        <v>1.4012555236621548E-3</v>
      </c>
      <c r="AD54" s="27">
        <f t="shared" ca="1" si="32"/>
        <v>2.0326396461923901E-3</v>
      </c>
      <c r="AE54" s="27">
        <f t="shared" ca="1" si="32"/>
        <v>2.6737862948157075E-3</v>
      </c>
      <c r="AF54" s="27">
        <f t="shared" ca="1" si="32"/>
        <v>3.2700516108161402E-3</v>
      </c>
      <c r="AG54" s="27"/>
    </row>
    <row r="55" spans="1:33">
      <c r="A55" s="2"/>
      <c r="B55" s="2" t="s">
        <v>14</v>
      </c>
      <c r="C55" s="9"/>
      <c r="D55" s="27">
        <f t="shared" ref="D55:AF55" ca="1" si="33">(D39-C39)/D39</f>
        <v>-3.646469470501152E-2</v>
      </c>
      <c r="E55" s="27">
        <f t="shared" ca="1" si="33"/>
        <v>9.0377192691126804E-2</v>
      </c>
      <c r="F55" s="27">
        <f t="shared" ca="1" si="33"/>
        <v>4.772191205335256E-3</v>
      </c>
      <c r="G55" s="27">
        <f t="shared" ca="1" si="33"/>
        <v>2.4213067803149808E-3</v>
      </c>
      <c r="H55" s="27">
        <f t="shared" ca="1" si="33"/>
        <v>-2.6962577940163688E-3</v>
      </c>
      <c r="I55" s="27">
        <f t="shared" ca="1" si="33"/>
        <v>-4.9388616745672572E-3</v>
      </c>
      <c r="J55" s="27">
        <f t="shared" ca="1" si="33"/>
        <v>-6.3545825734619265E-3</v>
      </c>
      <c r="K55" s="27">
        <f t="shared" ca="1" si="33"/>
        <v>-7.5759346301108536E-3</v>
      </c>
      <c r="L55" s="27">
        <f t="shared" ca="1" si="33"/>
        <v>-6.6871018878774001E-3</v>
      </c>
      <c r="M55" s="27">
        <f t="shared" ca="1" si="33"/>
        <v>-1.2497491441003599E-2</v>
      </c>
      <c r="N55" s="27">
        <f t="shared" ca="1" si="33"/>
        <v>-1.1594177558315868E-2</v>
      </c>
      <c r="O55" s="27">
        <f t="shared" ca="1" si="33"/>
        <v>-1.174695641580001E-2</v>
      </c>
      <c r="P55" s="27">
        <f t="shared" ca="1" si="33"/>
        <v>-1.1036601412271712E-2</v>
      </c>
      <c r="Q55" s="27">
        <f t="shared" ca="1" si="33"/>
        <v>-1.0085873794796179E-2</v>
      </c>
      <c r="R55" s="27">
        <f t="shared" ca="1" si="33"/>
        <v>-9.8453488063175356E-3</v>
      </c>
      <c r="S55" s="27">
        <f t="shared" ca="1" si="33"/>
        <v>-1.0095472625862275E-2</v>
      </c>
      <c r="T55" s="27">
        <f t="shared" ca="1" si="33"/>
        <v>-1.0109079548226468E-2</v>
      </c>
      <c r="U55" s="27">
        <f t="shared" ca="1" si="33"/>
        <v>-9.9302127739715421E-3</v>
      </c>
      <c r="V55" s="27">
        <f t="shared" ca="1" si="33"/>
        <v>-9.6264867907341189E-3</v>
      </c>
      <c r="W55" s="27">
        <f t="shared" ca="1" si="33"/>
        <v>-9.4842304407717331E-3</v>
      </c>
      <c r="X55" s="27">
        <f t="shared" ca="1" si="33"/>
        <v>-9.3895970281985802E-3</v>
      </c>
      <c r="Y55" s="27">
        <f t="shared" ca="1" si="33"/>
        <v>-9.36596603393418E-3</v>
      </c>
      <c r="Z55" s="27">
        <f t="shared" ca="1" si="33"/>
        <v>-8.8430819642755388E-3</v>
      </c>
      <c r="AA55" s="27">
        <f t="shared" ca="1" si="33"/>
        <v>-9.0590811729695589E-3</v>
      </c>
      <c r="AB55" s="27">
        <f t="shared" ca="1" si="33"/>
        <v>-9.1864496014107764E-3</v>
      </c>
      <c r="AC55" s="27">
        <f t="shared" ca="1" si="33"/>
        <v>-9.3348507323282991E-3</v>
      </c>
      <c r="AD55" s="27">
        <f t="shared" ca="1" si="33"/>
        <v>-9.4124592038169648E-3</v>
      </c>
      <c r="AE55" s="27">
        <f t="shared" ca="1" si="33"/>
        <v>-9.5802072465916328E-3</v>
      </c>
      <c r="AF55" s="27">
        <f t="shared" ca="1" si="33"/>
        <v>-9.692397541865086E-3</v>
      </c>
      <c r="AG55" s="27"/>
    </row>
    <row r="56" spans="1:33">
      <c r="A56" s="2" t="s">
        <v>45</v>
      </c>
      <c r="B56" s="2" t="s">
        <v>44</v>
      </c>
      <c r="C56" s="9"/>
      <c r="D56" s="27">
        <f t="shared" ref="D56:AF56" ca="1" si="34">(D40-C40)/D40</f>
        <v>5.6365458224528131E-3</v>
      </c>
      <c r="E56" s="27">
        <f t="shared" ca="1" si="34"/>
        <v>6.0217649390656991E-3</v>
      </c>
      <c r="F56" s="27">
        <f t="shared" ca="1" si="34"/>
        <v>3.4440345524849522E-4</v>
      </c>
      <c r="G56" s="27">
        <f t="shared" ca="1" si="34"/>
        <v>6.3687979746964232E-4</v>
      </c>
      <c r="H56" s="27">
        <f t="shared" ca="1" si="34"/>
        <v>-2.6590709001819671E-3</v>
      </c>
      <c r="I56" s="27">
        <f t="shared" ca="1" si="34"/>
        <v>4.7913364472659847E-4</v>
      </c>
      <c r="J56" s="27">
        <f t="shared" ca="1" si="34"/>
        <v>4.9758616665966387E-6</v>
      </c>
      <c r="K56" s="27">
        <f t="shared" ca="1" si="34"/>
        <v>3.3874424477223268E-4</v>
      </c>
      <c r="L56" s="27">
        <f t="shared" ca="1" si="34"/>
        <v>-2.6201801359246736E-3</v>
      </c>
      <c r="M56" s="27">
        <f t="shared" ca="1" si="34"/>
        <v>-6.9199652470778427E-3</v>
      </c>
      <c r="N56" s="27">
        <f t="shared" ca="1" si="34"/>
        <v>-5.6915975747548345E-3</v>
      </c>
      <c r="O56" s="27">
        <f t="shared" ca="1" si="34"/>
        <v>-4.1277895442122826E-3</v>
      </c>
      <c r="P56" s="27">
        <f t="shared" ca="1" si="34"/>
        <v>-2.8729101288767029E-3</v>
      </c>
      <c r="Q56" s="27">
        <f t="shared" ca="1" si="34"/>
        <v>-2.220577894598385E-3</v>
      </c>
      <c r="R56" s="27">
        <f t="shared" ca="1" si="34"/>
        <v>-2.1305858406123427E-3</v>
      </c>
      <c r="S56" s="27">
        <f t="shared" ca="1" si="34"/>
        <v>-1.7805787553774523E-3</v>
      </c>
      <c r="T56" s="27">
        <f t="shared" ca="1" si="34"/>
        <v>-1.4675728032674433E-3</v>
      </c>
      <c r="U56" s="27">
        <f t="shared" ca="1" si="34"/>
        <v>-2.0347863359671237E-3</v>
      </c>
      <c r="V56" s="27">
        <f t="shared" ca="1" si="34"/>
        <v>-2.8107108258132504E-3</v>
      </c>
      <c r="W56" s="27">
        <f t="shared" ca="1" si="34"/>
        <v>-1.5601803772392708E-3</v>
      </c>
      <c r="X56" s="27">
        <f t="shared" ca="1" si="34"/>
        <v>-4.8761205303361424E-4</v>
      </c>
      <c r="Y56" s="27">
        <f t="shared" ca="1" si="34"/>
        <v>1.3720358397758308E-4</v>
      </c>
      <c r="Z56" s="27">
        <f t="shared" ca="1" si="34"/>
        <v>2.3194874776972651E-4</v>
      </c>
      <c r="AA56" s="27">
        <f t="shared" ca="1" si="34"/>
        <v>7.6833609807733878E-4</v>
      </c>
      <c r="AB56" s="27">
        <f t="shared" ca="1" si="34"/>
        <v>-1.7069451664192303E-4</v>
      </c>
      <c r="AC56" s="27">
        <f t="shared" ca="1" si="34"/>
        <v>6.8798026618047375E-4</v>
      </c>
      <c r="AD56" s="27">
        <f t="shared" ca="1" si="34"/>
        <v>7.7568196402387967E-4</v>
      </c>
      <c r="AE56" s="27">
        <f t="shared" ca="1" si="34"/>
        <v>1.86114366093032E-3</v>
      </c>
      <c r="AF56" s="27">
        <f t="shared" ca="1" si="34"/>
        <v>2.1748548399404054E-3</v>
      </c>
      <c r="AG56" s="27"/>
    </row>
    <row r="57" spans="1:33">
      <c r="A57" s="2"/>
      <c r="B57" s="2" t="s">
        <v>14</v>
      </c>
      <c r="C57" s="9"/>
      <c r="D57" s="27">
        <f t="shared" ref="D57:AF57" ca="1" si="35">(D41-C41)/D41</f>
        <v>3.2849383412915975E-2</v>
      </c>
      <c r="E57" s="27">
        <f t="shared" ca="1" si="35"/>
        <v>-1.4439293737642717E-2</v>
      </c>
      <c r="F57" s="27">
        <f t="shared" ca="1" si="35"/>
        <v>3.0333792259871375E-3</v>
      </c>
      <c r="G57" s="27">
        <f t="shared" ca="1" si="35"/>
        <v>5.2777658246115832E-3</v>
      </c>
      <c r="H57" s="27">
        <f t="shared" ca="1" si="35"/>
        <v>1.1889038238374798E-3</v>
      </c>
      <c r="I57" s="27">
        <f t="shared" ca="1" si="35"/>
        <v>4.7052088613013599E-3</v>
      </c>
      <c r="J57" s="27">
        <f t="shared" ca="1" si="35"/>
        <v>4.6130583085692749E-4</v>
      </c>
      <c r="K57" s="27">
        <f t="shared" ca="1" si="35"/>
        <v>-3.0148653924541823E-3</v>
      </c>
      <c r="L57" s="27">
        <f t="shared" ca="1" si="35"/>
        <v>-2.3370867147809887E-3</v>
      </c>
      <c r="M57" s="27">
        <f t="shared" ca="1" si="35"/>
        <v>-6.9329777720687231E-3</v>
      </c>
      <c r="N57" s="27">
        <f t="shared" ca="1" si="35"/>
        <v>-5.5561032361533709E-3</v>
      </c>
      <c r="O57" s="27">
        <f t="shared" ca="1" si="35"/>
        <v>-6.2596182893888408E-3</v>
      </c>
      <c r="P57" s="27">
        <f t="shared" ca="1" si="35"/>
        <v>-5.2914859043163027E-3</v>
      </c>
      <c r="Q57" s="27">
        <f t="shared" ca="1" si="35"/>
        <v>-4.0596326376707466E-3</v>
      </c>
      <c r="R57" s="27">
        <f t="shared" ca="1" si="35"/>
        <v>-4.1993114080832424E-3</v>
      </c>
      <c r="S57" s="27">
        <f t="shared" ca="1" si="35"/>
        <v>-5.2272828983566935E-3</v>
      </c>
      <c r="T57" s="27">
        <f t="shared" ca="1" si="35"/>
        <v>-5.7612246814232378E-3</v>
      </c>
      <c r="U57" s="27">
        <f t="shared" ca="1" si="35"/>
        <v>-5.9103040020882834E-3</v>
      </c>
      <c r="V57" s="27">
        <f t="shared" ca="1" si="35"/>
        <v>-5.9077081476002534E-3</v>
      </c>
      <c r="W57" s="27">
        <f t="shared" ca="1" si="35"/>
        <v>-5.6663161067283573E-3</v>
      </c>
      <c r="X57" s="27">
        <f t="shared" ca="1" si="35"/>
        <v>-5.4902863340692632E-3</v>
      </c>
      <c r="Y57" s="27">
        <f t="shared" ca="1" si="35"/>
        <v>-5.5154478158729566E-3</v>
      </c>
      <c r="Z57" s="27">
        <f t="shared" ca="1" si="35"/>
        <v>-4.878548047062628E-3</v>
      </c>
      <c r="AA57" s="27">
        <f t="shared" ca="1" si="35"/>
        <v>-5.0725389056040801E-3</v>
      </c>
      <c r="AB57" s="27">
        <f t="shared" ca="1" si="35"/>
        <v>-5.3316777685313219E-3</v>
      </c>
      <c r="AC57" s="27">
        <f t="shared" ca="1" si="35"/>
        <v>-5.5964896938057061E-3</v>
      </c>
      <c r="AD57" s="27">
        <f t="shared" ca="1" si="35"/>
        <v>-5.687985007725418E-3</v>
      </c>
      <c r="AE57" s="27">
        <f t="shared" ca="1" si="35"/>
        <v>-5.9537276380482521E-3</v>
      </c>
      <c r="AF57" s="27">
        <f t="shared" ca="1" si="35"/>
        <v>-6.1386806818416765E-3</v>
      </c>
      <c r="AG57" s="27"/>
    </row>
    <row r="58" spans="1:33">
      <c r="A58" s="2"/>
      <c r="B58" s="2" t="s">
        <v>46</v>
      </c>
      <c r="C58" s="9"/>
      <c r="D58" s="27">
        <f t="shared" ref="D58:AF58" ca="1" si="36">(D42-C42)/D42</f>
        <v>3.6834239435335572E-3</v>
      </c>
      <c r="E58" s="27">
        <f t="shared" ca="1" si="36"/>
        <v>1.1256303212710109E-2</v>
      </c>
      <c r="F58" s="27">
        <f t="shared" ca="1" si="36"/>
        <v>1.4453194188820981E-3</v>
      </c>
      <c r="G58" s="27">
        <f t="shared" ca="1" si="36"/>
        <v>3.8909931312903277E-3</v>
      </c>
      <c r="H58" s="27">
        <f t="shared" ca="1" si="36"/>
        <v>2.0109249479613265E-3</v>
      </c>
      <c r="I58" s="27">
        <f t="shared" ca="1" si="36"/>
        <v>3.814857665244269E-3</v>
      </c>
      <c r="J58" s="27">
        <f t="shared" ca="1" si="36"/>
        <v>1.3595773546804446E-3</v>
      </c>
      <c r="K58" s="27">
        <f t="shared" ca="1" si="36"/>
        <v>1.2303826254685918E-3</v>
      </c>
      <c r="L58" s="27">
        <f t="shared" ca="1" si="36"/>
        <v>-3.8179083474826098E-4</v>
      </c>
      <c r="M58" s="27">
        <f t="shared" ca="1" si="36"/>
        <v>-5.2376505905223488E-3</v>
      </c>
      <c r="N58" s="27">
        <f t="shared" ca="1" si="36"/>
        <v>-5.0817440394595025E-3</v>
      </c>
      <c r="O58" s="27">
        <f t="shared" ca="1" si="36"/>
        <v>-4.1499329482378288E-3</v>
      </c>
      <c r="P58" s="27">
        <f t="shared" ca="1" si="36"/>
        <v>-4.6430696703527001E-3</v>
      </c>
      <c r="Q58" s="27">
        <f t="shared" ca="1" si="36"/>
        <v>-3.9733322783118263E-3</v>
      </c>
      <c r="R58" s="27">
        <f t="shared" ca="1" si="36"/>
        <v>-4.5947243195999686E-3</v>
      </c>
      <c r="S58" s="27">
        <f t="shared" ca="1" si="36"/>
        <v>-4.506236512787201E-3</v>
      </c>
      <c r="T58" s="27">
        <f t="shared" ca="1" si="36"/>
        <v>-5.0615001858277942E-3</v>
      </c>
      <c r="U58" s="27">
        <f t="shared" ca="1" si="36"/>
        <v>-3.4954190373778691E-3</v>
      </c>
      <c r="V58" s="27">
        <f t="shared" ca="1" si="36"/>
        <v>-4.821136774664554E-3</v>
      </c>
      <c r="W58" s="27">
        <f t="shared" ca="1" si="36"/>
        <v>-4.0925093776673473E-3</v>
      </c>
      <c r="X58" s="27">
        <f t="shared" ca="1" si="36"/>
        <v>-3.6231151152395762E-3</v>
      </c>
      <c r="Y58" s="27">
        <f t="shared" ca="1" si="36"/>
        <v>-4.6881805695268694E-3</v>
      </c>
      <c r="Z58" s="27">
        <f t="shared" ca="1" si="36"/>
        <v>-4.7291633258546599E-3</v>
      </c>
      <c r="AA58" s="27">
        <f t="shared" ca="1" si="36"/>
        <v>-3.877397501823174E-3</v>
      </c>
      <c r="AB58" s="27">
        <f t="shared" ca="1" si="36"/>
        <v>-4.5570405043315427E-3</v>
      </c>
      <c r="AC58" s="27">
        <f t="shared" ca="1" si="36"/>
        <v>-3.5174951508409268E-3</v>
      </c>
      <c r="AD58" s="27">
        <f t="shared" ca="1" si="36"/>
        <v>-3.1180313209358242E-3</v>
      </c>
      <c r="AE58" s="27">
        <f t="shared" ca="1" si="36"/>
        <v>-3.2903127338671204E-3</v>
      </c>
      <c r="AF58" s="27">
        <f t="shared" ca="1" si="36"/>
        <v>-3.2722902575252201E-3</v>
      </c>
      <c r="AG58" s="27"/>
    </row>
    <row r="59" spans="1:33">
      <c r="A59" s="2"/>
      <c r="B59" s="2" t="s">
        <v>47</v>
      </c>
      <c r="C59" s="28"/>
      <c r="D59" s="27">
        <f t="shared" ref="D59:AF59" ca="1" si="37">(D43-C43)/D43</f>
        <v>3.1682414549911532E-2</v>
      </c>
      <c r="E59" s="27">
        <f t="shared" ca="1" si="37"/>
        <v>5.2049874733283812E-2</v>
      </c>
      <c r="F59" s="27">
        <f t="shared" ca="1" si="37"/>
        <v>-4.3048289894348441E-3</v>
      </c>
      <c r="G59" s="27">
        <f t="shared" ca="1" si="37"/>
        <v>-3.0009985424944686E-3</v>
      </c>
      <c r="H59" s="27">
        <f t="shared" ca="1" si="37"/>
        <v>-2.8883869408259152E-3</v>
      </c>
      <c r="I59" s="27">
        <f t="shared" ca="1" si="37"/>
        <v>8.3627482155552643E-3</v>
      </c>
      <c r="J59" s="27">
        <f t="shared" ca="1" si="37"/>
        <v>2.1104272647566192E-3</v>
      </c>
      <c r="K59" s="27">
        <f t="shared" ca="1" si="37"/>
        <v>-1.6493924963664416E-3</v>
      </c>
      <c r="L59" s="27">
        <f t="shared" ca="1" si="37"/>
        <v>-2.0374635864631274E-3</v>
      </c>
      <c r="M59" s="27">
        <f t="shared" ca="1" si="37"/>
        <v>-9.1786714660995593E-3</v>
      </c>
      <c r="N59" s="27">
        <f t="shared" ca="1" si="37"/>
        <v>-9.1637204432561629E-3</v>
      </c>
      <c r="O59" s="27">
        <f t="shared" ca="1" si="37"/>
        <v>-8.88829680854996E-3</v>
      </c>
      <c r="P59" s="27">
        <f t="shared" ca="1" si="37"/>
        <v>-8.0881865004809542E-3</v>
      </c>
      <c r="Q59" s="27">
        <f t="shared" ca="1" si="37"/>
        <v>-8.330059255938646E-3</v>
      </c>
      <c r="R59" s="27">
        <f t="shared" ca="1" si="37"/>
        <v>-8.9029486688430998E-3</v>
      </c>
      <c r="S59" s="27">
        <f t="shared" ca="1" si="37"/>
        <v>-1.0076853808686701E-2</v>
      </c>
      <c r="T59" s="27">
        <f t="shared" ca="1" si="37"/>
        <v>-9.8062732502075187E-3</v>
      </c>
      <c r="U59" s="27">
        <f t="shared" ca="1" si="37"/>
        <v>-8.9337039305784592E-3</v>
      </c>
      <c r="V59" s="27">
        <f t="shared" ca="1" si="37"/>
        <v>-9.5217326600928725E-3</v>
      </c>
      <c r="W59" s="27">
        <f t="shared" ca="1" si="37"/>
        <v>-9.2450387120900993E-3</v>
      </c>
      <c r="X59" s="27">
        <f t="shared" ca="1" si="37"/>
        <v>-8.3606460733182623E-3</v>
      </c>
      <c r="Y59" s="27">
        <f t="shared" ca="1" si="37"/>
        <v>-9.3569905231171979E-3</v>
      </c>
      <c r="Z59" s="27">
        <f t="shared" ca="1" si="37"/>
        <v>-1.0366440061730502E-2</v>
      </c>
      <c r="AA59" s="27">
        <f t="shared" ca="1" si="37"/>
        <v>-9.9580176442313813E-3</v>
      </c>
      <c r="AB59" s="27">
        <f t="shared" ca="1" si="37"/>
        <v>-9.6131109250994842E-3</v>
      </c>
      <c r="AC59" s="27">
        <f t="shared" ca="1" si="37"/>
        <v>-8.7150268514620526E-3</v>
      </c>
      <c r="AD59" s="27">
        <f t="shared" ca="1" si="37"/>
        <v>-7.6716951938711449E-3</v>
      </c>
      <c r="AE59" s="27">
        <f t="shared" ca="1" si="37"/>
        <v>-7.1039531148626512E-3</v>
      </c>
      <c r="AF59" s="27">
        <f t="shared" ca="1" si="37"/>
        <v>-6.6715529126364611E-3</v>
      </c>
      <c r="AG59" s="27"/>
    </row>
    <row r="60" spans="1:33">
      <c r="A60" s="2" t="s">
        <v>48</v>
      </c>
      <c r="B60" s="2" t="s">
        <v>44</v>
      </c>
      <c r="C60" s="9"/>
      <c r="D60" s="27">
        <f t="shared" ref="D60:AF60" ca="1" si="38">(D44-C44)/D44</f>
        <v>2.6162824214893438E-2</v>
      </c>
      <c r="E60" s="27">
        <f t="shared" ca="1" si="38"/>
        <v>2.7886539480108583E-2</v>
      </c>
      <c r="F60" s="27">
        <f t="shared" ca="1" si="38"/>
        <v>1.8870120846125368E-3</v>
      </c>
      <c r="G60" s="27">
        <f t="shared" ca="1" si="38"/>
        <v>9.4051773474124745E-3</v>
      </c>
      <c r="H60" s="27">
        <f t="shared" ca="1" si="38"/>
        <v>9.6544265862861453E-3</v>
      </c>
      <c r="I60" s="27">
        <f t="shared" ca="1" si="38"/>
        <v>3.2339504676031903E-3</v>
      </c>
      <c r="J60" s="27">
        <f t="shared" ca="1" si="38"/>
        <v>2.691554066890155E-3</v>
      </c>
      <c r="K60" s="27">
        <f t="shared" ca="1" si="38"/>
        <v>6.2408607272695397E-3</v>
      </c>
      <c r="L60" s="27">
        <f t="shared" ca="1" si="38"/>
        <v>3.0041073529668578E-3</v>
      </c>
      <c r="M60" s="27">
        <f t="shared" ca="1" si="38"/>
        <v>-1.8760508661007746E-3</v>
      </c>
      <c r="N60" s="27">
        <f t="shared" ca="1" si="38"/>
        <v>-1.0969608433647918E-3</v>
      </c>
      <c r="O60" s="27">
        <f t="shared" ca="1" si="38"/>
        <v>-2.0768836955810475E-3</v>
      </c>
      <c r="P60" s="27">
        <f t="shared" ca="1" si="38"/>
        <v>-2.6136804550625958E-3</v>
      </c>
      <c r="Q60" s="27">
        <f t="shared" ca="1" si="38"/>
        <v>-1.8415105564449467E-3</v>
      </c>
      <c r="R60" s="27">
        <f t="shared" ca="1" si="38"/>
        <v>-1.8233931869634341E-3</v>
      </c>
      <c r="S60" s="27">
        <f t="shared" ca="1" si="38"/>
        <v>4.1541693897533503E-4</v>
      </c>
      <c r="T60" s="27">
        <f t="shared" ca="1" si="38"/>
        <v>-5.2261447994241949E-4</v>
      </c>
      <c r="U60" s="27">
        <f t="shared" ca="1" si="38"/>
        <v>-1.4628951179413326E-3</v>
      </c>
      <c r="V60" s="27">
        <f t="shared" ca="1" si="38"/>
        <v>-2.4936322486666007E-3</v>
      </c>
      <c r="W60" s="27">
        <f t="shared" ca="1" si="38"/>
        <v>-2.5540543286160447E-4</v>
      </c>
      <c r="X60" s="27">
        <f t="shared" ca="1" si="38"/>
        <v>1.2184974064221581E-3</v>
      </c>
      <c r="Y60" s="27">
        <f t="shared" ca="1" si="38"/>
        <v>3.2569290824802885E-4</v>
      </c>
      <c r="Z60" s="27">
        <f t="shared" ca="1" si="38"/>
        <v>-1.0854238907483135E-3</v>
      </c>
      <c r="AA60" s="27">
        <f t="shared" ca="1" si="38"/>
        <v>-5.1227291517343121E-4</v>
      </c>
      <c r="AB60" s="27">
        <f t="shared" ca="1" si="38"/>
        <v>-7.24452631413694E-5</v>
      </c>
      <c r="AC60" s="27">
        <f t="shared" ca="1" si="38"/>
        <v>-2.4844675973207425E-3</v>
      </c>
      <c r="AD60" s="27">
        <f t="shared" ca="1" si="38"/>
        <v>-3.8579311219925482E-3</v>
      </c>
      <c r="AE60" s="27">
        <f t="shared" ca="1" si="38"/>
        <v>-1.7108451669459945E-3</v>
      </c>
      <c r="AF60" s="27">
        <f t="shared" ca="1" si="38"/>
        <v>1.9696601517403926E-3</v>
      </c>
      <c r="AG60" s="27"/>
    </row>
    <row r="61" spans="1:33">
      <c r="A61" s="2"/>
      <c r="B61" s="2" t="s">
        <v>14</v>
      </c>
      <c r="C61" s="9"/>
      <c r="D61" s="27">
        <f t="shared" ref="D61:AF61" ca="1" si="39">(D45-C45)/D45</f>
        <v>2.1800118955688497E-2</v>
      </c>
      <c r="E61" s="27">
        <f t="shared" ca="1" si="39"/>
        <v>3.6003386940199014E-2</v>
      </c>
      <c r="F61" s="27">
        <f t="shared" ca="1" si="39"/>
        <v>9.8971501501909551E-4</v>
      </c>
      <c r="G61" s="27">
        <f t="shared" ca="1" si="39"/>
        <v>4.2817458287494961E-3</v>
      </c>
      <c r="H61" s="27">
        <f t="shared" ca="1" si="39"/>
        <v>9.6891943048868726E-3</v>
      </c>
      <c r="I61" s="27">
        <f t="shared" ca="1" si="39"/>
        <v>-2.7423634203342854E-3</v>
      </c>
      <c r="J61" s="27">
        <f t="shared" ca="1" si="39"/>
        <v>-2.1173922852882536E-3</v>
      </c>
      <c r="K61" s="27">
        <f t="shared" ca="1" si="39"/>
        <v>1.7294699064059973E-3</v>
      </c>
      <c r="L61" s="27">
        <f t="shared" ca="1" si="39"/>
        <v>2.3147057476111004E-3</v>
      </c>
      <c r="M61" s="27">
        <f t="shared" ca="1" si="39"/>
        <v>-5.3938392420164235E-3</v>
      </c>
      <c r="N61" s="27">
        <f t="shared" ca="1" si="39"/>
        <v>-1.8188155202126107E-3</v>
      </c>
      <c r="O61" s="27">
        <f t="shared" ca="1" si="39"/>
        <v>-5.4745208350002895E-3</v>
      </c>
      <c r="P61" s="27">
        <f t="shared" ca="1" si="39"/>
        <v>-4.9240787624329355E-3</v>
      </c>
      <c r="Q61" s="27">
        <f t="shared" ca="1" si="39"/>
        <v>-1.5809047694508396E-3</v>
      </c>
      <c r="R61" s="27">
        <f t="shared" ca="1" si="39"/>
        <v>-3.1916979321067363E-3</v>
      </c>
      <c r="S61" s="27">
        <f t="shared" ca="1" si="39"/>
        <v>-1.7516203978926851E-3</v>
      </c>
      <c r="T61" s="27">
        <f t="shared" ca="1" si="39"/>
        <v>-3.609483334435321E-4</v>
      </c>
      <c r="U61" s="27">
        <f t="shared" ca="1" si="39"/>
        <v>-1.8907484580474433E-3</v>
      </c>
      <c r="V61" s="27">
        <f t="shared" ca="1" si="39"/>
        <v>-6.7515146664616466E-4</v>
      </c>
      <c r="W61" s="27">
        <f t="shared" ca="1" si="39"/>
        <v>1.8027631130114361E-3</v>
      </c>
      <c r="X61" s="27">
        <f t="shared" ca="1" si="39"/>
        <v>4.1584092361081574E-3</v>
      </c>
      <c r="Y61" s="27">
        <f t="shared" ca="1" si="39"/>
        <v>5.4597329439400929E-3</v>
      </c>
      <c r="Z61" s="27">
        <f t="shared" ca="1" si="39"/>
        <v>2.3947581671729281E-4</v>
      </c>
      <c r="AA61" s="27">
        <f t="shared" ca="1" si="39"/>
        <v>6.1197292523473609E-3</v>
      </c>
      <c r="AB61" s="27">
        <f t="shared" ca="1" si="39"/>
        <v>2.3801013495132273E-3</v>
      </c>
      <c r="AC61" s="27">
        <f t="shared" ca="1" si="39"/>
        <v>-1.110767698775703E-3</v>
      </c>
      <c r="AD61" s="27">
        <f t="shared" ca="1" si="39"/>
        <v>8.2407319403948352E-4</v>
      </c>
      <c r="AE61" s="27">
        <f t="shared" ca="1" si="39"/>
        <v>1.1511034222972598E-3</v>
      </c>
      <c r="AF61" s="27">
        <f t="shared" ca="1" si="39"/>
        <v>5.8982621925942804E-3</v>
      </c>
      <c r="AG61" s="27"/>
    </row>
    <row r="62" spans="1:33">
      <c r="A62" s="2"/>
      <c r="B62" s="2" t="s">
        <v>47</v>
      </c>
      <c r="C62" s="9"/>
      <c r="D62" s="27">
        <f t="shared" ref="D62:AF62" ca="1" si="40">(D46-C46)/D46</f>
        <v>2.7218972918622852E-2</v>
      </c>
      <c r="E62" s="27">
        <f t="shared" ca="1" si="40"/>
        <v>4.1571295240800596E-3</v>
      </c>
      <c r="F62" s="27">
        <f t="shared" ca="1" si="40"/>
        <v>1.0710808958618366E-3</v>
      </c>
      <c r="G62" s="27">
        <f t="shared" ca="1" si="40"/>
        <v>7.0787889171485844E-3</v>
      </c>
      <c r="H62" s="27">
        <f t="shared" ca="1" si="40"/>
        <v>6.2887963263907427E-3</v>
      </c>
      <c r="I62" s="27">
        <f t="shared" ca="1" si="40"/>
        <v>3.1043436153765144E-4</v>
      </c>
      <c r="J62" s="27">
        <f t="shared" ca="1" si="40"/>
        <v>4.2767216626711136E-5</v>
      </c>
      <c r="K62" s="27">
        <f t="shared" ca="1" si="40"/>
        <v>1.9988412017202658E-3</v>
      </c>
      <c r="L62" s="27">
        <f t="shared" ca="1" si="40"/>
        <v>3.9948850623911592E-3</v>
      </c>
      <c r="M62" s="27">
        <f t="shared" ca="1" si="40"/>
        <v>-2.9190578903442589E-3</v>
      </c>
      <c r="N62" s="27">
        <f t="shared" ca="1" si="40"/>
        <v>8.1249633321499933E-4</v>
      </c>
      <c r="O62" s="27">
        <f t="shared" ca="1" si="40"/>
        <v>-2.2848144769139658E-3</v>
      </c>
      <c r="P62" s="27">
        <f t="shared" ca="1" si="40"/>
        <v>-3.4829399526603985E-3</v>
      </c>
      <c r="Q62" s="27">
        <f t="shared" ca="1" si="40"/>
        <v>-2.2260018626184437E-3</v>
      </c>
      <c r="R62" s="27">
        <f t="shared" ca="1" si="40"/>
        <v>-2.44790953922467E-3</v>
      </c>
      <c r="S62" s="27">
        <f t="shared" ca="1" si="40"/>
        <v>6.3830977209888655E-4</v>
      </c>
      <c r="T62" s="27">
        <f t="shared" ca="1" si="40"/>
        <v>2.0666079878781298E-3</v>
      </c>
      <c r="U62" s="27">
        <f t="shared" ca="1" si="40"/>
        <v>1.5228045352918059E-3</v>
      </c>
      <c r="V62" s="27">
        <f t="shared" ca="1" si="40"/>
        <v>1.7677767580205202E-4</v>
      </c>
      <c r="W62" s="27">
        <f t="shared" ca="1" si="40"/>
        <v>-2.3616887998059827E-4</v>
      </c>
      <c r="X62" s="27">
        <f t="shared" ca="1" si="40"/>
        <v>3.712369287776664E-5</v>
      </c>
      <c r="Y62" s="27">
        <f t="shared" ca="1" si="40"/>
        <v>-5.203341608307386E-4</v>
      </c>
      <c r="Z62" s="27">
        <f t="shared" ca="1" si="40"/>
        <v>-1.9702703331957709E-4</v>
      </c>
      <c r="AA62" s="27">
        <f t="shared" ca="1" si="40"/>
        <v>3.1929531043437996E-4</v>
      </c>
      <c r="AB62" s="27">
        <f t="shared" ca="1" si="40"/>
        <v>3.8360592019664303E-4</v>
      </c>
      <c r="AC62" s="27">
        <f t="shared" ca="1" si="40"/>
        <v>-7.0490793759685774E-4</v>
      </c>
      <c r="AD62" s="27">
        <f t="shared" ca="1" si="40"/>
        <v>-7.5275475004226138E-4</v>
      </c>
      <c r="AE62" s="27">
        <f t="shared" ca="1" si="40"/>
        <v>3.8996828366462979E-4</v>
      </c>
      <c r="AF62" s="27">
        <f t="shared" ca="1" si="40"/>
        <v>2.0411835778504327E-3</v>
      </c>
      <c r="AG62" s="27"/>
    </row>
    <row r="63" spans="1:33">
      <c r="A63" s="2"/>
      <c r="B63" s="2" t="s">
        <v>49</v>
      </c>
      <c r="C63" s="9"/>
      <c r="D63" s="27">
        <f t="shared" ref="D63:AF63" ca="1" si="41">(D47-C47)/D47</f>
        <v>0.13336406580781152</v>
      </c>
      <c r="E63" s="27">
        <f t="shared" ca="1" si="41"/>
        <v>2.6341490147885421E-2</v>
      </c>
      <c r="F63" s="27">
        <f t="shared" ca="1" si="41"/>
        <v>-2.2437591715178284E-2</v>
      </c>
      <c r="G63" s="27">
        <f t="shared" ca="1" si="41"/>
        <v>-9.0222122243803545E-3</v>
      </c>
      <c r="H63" s="27">
        <f t="shared" ca="1" si="41"/>
        <v>1.6091834981508572E-2</v>
      </c>
      <c r="I63" s="27">
        <f t="shared" ca="1" si="41"/>
        <v>-1.7035729877798753E-2</v>
      </c>
      <c r="J63" s="27">
        <f t="shared" ca="1" si="41"/>
        <v>-1.6916560948974497E-2</v>
      </c>
      <c r="K63" s="27">
        <f t="shared" ca="1" si="41"/>
        <v>-1.4860447720642916E-2</v>
      </c>
      <c r="L63" s="27">
        <f t="shared" ca="1" si="41"/>
        <v>-1.6633025428711458E-2</v>
      </c>
      <c r="M63" s="27">
        <f t="shared" ca="1" si="41"/>
        <v>-1.9915244673157678E-2</v>
      </c>
      <c r="N63" s="27">
        <f t="shared" ca="1" si="41"/>
        <v>-9.4795901277662104E-3</v>
      </c>
      <c r="O63" s="27">
        <f t="shared" ca="1" si="41"/>
        <v>-1.3270303736786454E-2</v>
      </c>
      <c r="P63" s="27">
        <f t="shared" ca="1" si="41"/>
        <v>-7.4492585307404423E-3</v>
      </c>
      <c r="Q63" s="27">
        <f t="shared" ca="1" si="41"/>
        <v>-9.5895399053663871E-3</v>
      </c>
      <c r="R63" s="27">
        <f t="shared" ca="1" si="41"/>
        <v>-6.8637834725528736E-3</v>
      </c>
      <c r="S63" s="27">
        <f t="shared" ca="1" si="41"/>
        <v>-3.2259900652696397E-3</v>
      </c>
      <c r="T63" s="27">
        <f t="shared" ca="1" si="41"/>
        <v>-4.6319737829130098E-3</v>
      </c>
      <c r="U63" s="27">
        <f t="shared" ca="1" si="41"/>
        <v>-1.4138741015346885E-2</v>
      </c>
      <c r="V63" s="27">
        <f t="shared" ca="1" si="41"/>
        <v>-1.7270608839693419E-2</v>
      </c>
      <c r="W63" s="27">
        <f t="shared" ca="1" si="41"/>
        <v>-8.8054504588450482E-3</v>
      </c>
      <c r="X63" s="27">
        <f t="shared" ca="1" si="41"/>
        <v>-6.9083833548961417E-3</v>
      </c>
      <c r="Y63" s="27">
        <f t="shared" ca="1" si="41"/>
        <v>-1.0941367929706746E-2</v>
      </c>
      <c r="Z63" s="27">
        <f t="shared" ca="1" si="41"/>
        <v>-1.5166809294802228E-2</v>
      </c>
      <c r="AA63" s="27">
        <f t="shared" ca="1" si="41"/>
        <v>-1.8500446962641803E-2</v>
      </c>
      <c r="AB63" s="27">
        <f t="shared" ca="1" si="41"/>
        <v>-1.5183512851324483E-2</v>
      </c>
      <c r="AC63" s="27">
        <f t="shared" ca="1" si="41"/>
        <v>-1.8631808672453377E-2</v>
      </c>
      <c r="AD63" s="27">
        <f t="shared" ca="1" si="41"/>
        <v>-2.8263707438854296E-2</v>
      </c>
      <c r="AE63" s="27">
        <f t="shared" ca="1" si="41"/>
        <v>-1.7314884469362624E-2</v>
      </c>
      <c r="AF63" s="27">
        <f t="shared" ca="1" si="41"/>
        <v>-5.6433203003313651E-3</v>
      </c>
      <c r="AG63" s="27"/>
    </row>
    <row r="64" spans="1:33">
      <c r="A64" s="2" t="s">
        <v>50</v>
      </c>
      <c r="B64" s="2" t="s">
        <v>46</v>
      </c>
      <c r="C64" s="9"/>
      <c r="D64" s="27">
        <f t="shared" ref="D64:AF64" ca="1" si="42">(D48-C48)/D48</f>
        <v>2.9292486826791603E-2</v>
      </c>
      <c r="E64" s="27">
        <f t="shared" ca="1" si="42"/>
        <v>1.8600584726802052E-2</v>
      </c>
      <c r="F64" s="27">
        <f t="shared" ca="1" si="42"/>
        <v>-3.3401560379175644E-3</v>
      </c>
      <c r="G64" s="27">
        <f t="shared" ca="1" si="42"/>
        <v>-4.6363828824408614E-3</v>
      </c>
      <c r="H64" s="27">
        <f t="shared" ca="1" si="42"/>
        <v>-7.0449952709481798E-3</v>
      </c>
      <c r="I64" s="27">
        <f t="shared" ca="1" si="42"/>
        <v>-8.8001030097412253E-3</v>
      </c>
      <c r="J64" s="27">
        <f t="shared" ca="1" si="42"/>
        <v>-9.5042375304244583E-3</v>
      </c>
      <c r="K64" s="27">
        <f t="shared" ca="1" si="42"/>
        <v>-8.601852979654068E-3</v>
      </c>
      <c r="L64" s="27">
        <f t="shared" ca="1" si="42"/>
        <v>-7.4788683292749941E-3</v>
      </c>
      <c r="M64" s="27">
        <f t="shared" ca="1" si="42"/>
        <v>-1.3105815130670332E-2</v>
      </c>
      <c r="N64" s="27">
        <f t="shared" ca="1" si="42"/>
        <v>-1.3597816712641084E-2</v>
      </c>
      <c r="O64" s="27">
        <f t="shared" ca="1" si="42"/>
        <v>-1.1772160576129514E-2</v>
      </c>
      <c r="P64" s="27">
        <f t="shared" ca="1" si="42"/>
        <v>-1.1374444006868812E-2</v>
      </c>
      <c r="Q64" s="27">
        <f t="shared" ca="1" si="42"/>
        <v>-1.1503822267125888E-2</v>
      </c>
      <c r="R64" s="27">
        <f t="shared" ca="1" si="42"/>
        <v>-1.0766007938713839E-2</v>
      </c>
      <c r="S64" s="27">
        <f t="shared" ca="1" si="42"/>
        <v>-9.5190642153732512E-3</v>
      </c>
      <c r="T64" s="27">
        <f t="shared" ca="1" si="42"/>
        <v>-8.9935520465570379E-3</v>
      </c>
      <c r="U64" s="27">
        <f t="shared" ca="1" si="42"/>
        <v>-7.9876856422403351E-3</v>
      </c>
      <c r="V64" s="27">
        <f t="shared" ca="1" si="42"/>
        <v>-7.3197167489702439E-3</v>
      </c>
      <c r="W64" s="27">
        <f t="shared" ca="1" si="42"/>
        <v>-6.8881456594885367E-3</v>
      </c>
      <c r="X64" s="27">
        <f t="shared" ca="1" si="42"/>
        <v>-6.315229360627876E-3</v>
      </c>
      <c r="Y64" s="27">
        <f t="shared" ca="1" si="42"/>
        <v>-5.9807735695617216E-3</v>
      </c>
      <c r="Z64" s="27">
        <f t="shared" ca="1" si="42"/>
        <v>-5.3330503765339444E-3</v>
      </c>
      <c r="AA64" s="27">
        <f t="shared" ca="1" si="42"/>
        <v>-4.6162652167299201E-3</v>
      </c>
      <c r="AB64" s="27">
        <f t="shared" ca="1" si="42"/>
        <v>-3.6210526068689002E-3</v>
      </c>
      <c r="AC64" s="27">
        <f t="shared" ca="1" si="42"/>
        <v>-3.6748261101887509E-3</v>
      </c>
      <c r="AD64" s="27">
        <f t="shared" ca="1" si="42"/>
        <v>-3.5798634517353145E-3</v>
      </c>
      <c r="AE64" s="27">
        <f t="shared" ca="1" si="42"/>
        <v>-2.6889406498848316E-3</v>
      </c>
      <c r="AF64" s="27">
        <f t="shared" ca="1" si="42"/>
        <v>-1.6641951654179036E-3</v>
      </c>
      <c r="AG64" s="27"/>
    </row>
    <row r="65" spans="1:33">
      <c r="B65" s="2" t="s">
        <v>51</v>
      </c>
      <c r="C65" s="9"/>
      <c r="D65" s="27">
        <f t="shared" ref="D65:AF65" ca="1" si="43">(D49-C49)/D49</f>
        <v>7.7064171681425894E-3</v>
      </c>
      <c r="E65" s="27">
        <f t="shared" ca="1" si="43"/>
        <v>1.1359788999672053E-2</v>
      </c>
      <c r="F65" s="27">
        <f t="shared" ca="1" si="43"/>
        <v>-8.5168178232022645E-3</v>
      </c>
      <c r="G65" s="27">
        <f t="shared" ca="1" si="43"/>
        <v>-4.202051827326767E-3</v>
      </c>
      <c r="H65" s="27">
        <f t="shared" ca="1" si="43"/>
        <v>-6.7045646440142253E-3</v>
      </c>
      <c r="I65" s="27">
        <f t="shared" ca="1" si="43"/>
        <v>-1.0510225980019407E-2</v>
      </c>
      <c r="J65" s="27">
        <f t="shared" ca="1" si="43"/>
        <v>-1.0823011207426885E-2</v>
      </c>
      <c r="K65" s="27">
        <f t="shared" ca="1" si="43"/>
        <v>-1.1553720365287764E-2</v>
      </c>
      <c r="L65" s="27">
        <f t="shared" ca="1" si="43"/>
        <v>-1.1657991947037623E-2</v>
      </c>
      <c r="M65" s="27">
        <f t="shared" ca="1" si="43"/>
        <v>-1.9852949913404274E-2</v>
      </c>
      <c r="N65" s="27">
        <f t="shared" ca="1" si="43"/>
        <v>-1.7826822355006627E-2</v>
      </c>
      <c r="O65" s="27">
        <f t="shared" ca="1" si="43"/>
        <v>-1.6615234478340245E-2</v>
      </c>
      <c r="P65" s="27">
        <f t="shared" ca="1" si="43"/>
        <v>-1.731667382297317E-2</v>
      </c>
      <c r="Q65" s="27">
        <f t="shared" ca="1" si="43"/>
        <v>-1.59909936844836E-2</v>
      </c>
      <c r="R65" s="27">
        <f t="shared" ca="1" si="43"/>
        <v>-1.5727122450743907E-2</v>
      </c>
      <c r="S65" s="27">
        <f t="shared" ca="1" si="43"/>
        <v>-1.322464921109638E-2</v>
      </c>
      <c r="T65" s="27">
        <f t="shared" ca="1" si="43"/>
        <v>-1.2266688879897581E-2</v>
      </c>
      <c r="U65" s="27">
        <f t="shared" ca="1" si="43"/>
        <v>-1.2845500890702528E-2</v>
      </c>
      <c r="V65" s="27">
        <f t="shared" ca="1" si="43"/>
        <v>-1.1593851383693544E-2</v>
      </c>
      <c r="W65" s="27">
        <f t="shared" ca="1" si="43"/>
        <v>-1.1133864146043709E-2</v>
      </c>
      <c r="X65" s="27">
        <f t="shared" ca="1" si="43"/>
        <v>-8.9431103506174264E-3</v>
      </c>
      <c r="Y65" s="27">
        <f t="shared" ca="1" si="43"/>
        <v>-8.6134382014532874E-3</v>
      </c>
      <c r="Z65" s="27">
        <f t="shared" ca="1" si="43"/>
        <v>-9.3359163402903875E-3</v>
      </c>
      <c r="AA65" s="27">
        <f t="shared" ca="1" si="43"/>
        <v>-9.5200908293215248E-3</v>
      </c>
      <c r="AB65" s="27">
        <f t="shared" ca="1" si="43"/>
        <v>-8.5095833033909749E-3</v>
      </c>
      <c r="AC65" s="27">
        <f t="shared" ca="1" si="43"/>
        <v>-1.0130115267076094E-2</v>
      </c>
      <c r="AD65" s="27">
        <f t="shared" ca="1" si="43"/>
        <v>-1.1641580262865797E-2</v>
      </c>
      <c r="AE65" s="27">
        <f t="shared" ca="1" si="43"/>
        <v>-9.6351965008590855E-3</v>
      </c>
      <c r="AF65" s="27">
        <f t="shared" ca="1" si="43"/>
        <v>-7.5068667978843862E-3</v>
      </c>
      <c r="AG65" s="27"/>
    </row>
    <row r="66" spans="1:33">
      <c r="A66" s="2"/>
      <c r="B66" s="2" t="s">
        <v>14</v>
      </c>
      <c r="C66" s="9"/>
      <c r="D66" s="27">
        <f t="shared" ref="D66:AF66" ca="1" si="44">(D50-C50)/D50</f>
        <v>-1.1482915587237196E-2</v>
      </c>
      <c r="E66" s="27">
        <f t="shared" ca="1" si="44"/>
        <v>1.5480175837820111E-2</v>
      </c>
      <c r="F66" s="27">
        <f t="shared" ca="1" si="44"/>
        <v>3.5834344029468282E-3</v>
      </c>
      <c r="G66" s="27">
        <f t="shared" ca="1" si="44"/>
        <v>-6.6713541462791381E-3</v>
      </c>
      <c r="H66" s="27">
        <f t="shared" ca="1" si="44"/>
        <v>-2.9555463039410879E-3</v>
      </c>
      <c r="I66" s="27">
        <f t="shared" ca="1" si="44"/>
        <v>-3.3176882221786169E-4</v>
      </c>
      <c r="J66" s="27">
        <f t="shared" ca="1" si="44"/>
        <v>2.4188308731486596E-2</v>
      </c>
      <c r="K66" s="27">
        <f t="shared" ca="1" si="44"/>
        <v>3.3561515940383813E-2</v>
      </c>
      <c r="L66" s="27">
        <f t="shared" ca="1" si="44"/>
        <v>2.3490065418338129E-2</v>
      </c>
      <c r="M66" s="27">
        <f t="shared" ca="1" si="44"/>
        <v>2.5003551136675177E-2</v>
      </c>
      <c r="N66" s="27">
        <f t="shared" ca="1" si="44"/>
        <v>2.3810416538932417E-2</v>
      </c>
      <c r="O66" s="27">
        <f t="shared" ca="1" si="44"/>
        <v>2.3865283455019998E-2</v>
      </c>
      <c r="P66" s="27">
        <f t="shared" ca="1" si="44"/>
        <v>2.7340619972912851E-2</v>
      </c>
      <c r="Q66" s="27">
        <f t="shared" ca="1" si="44"/>
        <v>9.2796401095931198E-3</v>
      </c>
      <c r="R66" s="27">
        <f t="shared" ca="1" si="44"/>
        <v>1.404496307582884E-2</v>
      </c>
      <c r="S66" s="27">
        <f t="shared" ca="1" si="44"/>
        <v>1.7618996320064174E-2</v>
      </c>
      <c r="T66" s="27">
        <f t="shared" ca="1" si="44"/>
        <v>1.3835043187798842E-2</v>
      </c>
      <c r="U66" s="27">
        <f t="shared" ca="1" si="44"/>
        <v>1.605103800014079E-2</v>
      </c>
      <c r="V66" s="27">
        <f t="shared" ca="1" si="44"/>
        <v>1.8591268463824556E-2</v>
      </c>
      <c r="W66" s="27">
        <f t="shared" ca="1" si="44"/>
        <v>1.4578314742106274E-2</v>
      </c>
      <c r="X66" s="27">
        <f t="shared" ca="1" si="44"/>
        <v>8.4417947886655988E-3</v>
      </c>
      <c r="Y66" s="27">
        <f t="shared" ca="1" si="44"/>
        <v>1.2779877793396901E-2</v>
      </c>
      <c r="Z66" s="27">
        <f t="shared" ca="1" si="44"/>
        <v>1.1071355677923373E-2</v>
      </c>
      <c r="AA66" s="27">
        <f t="shared" ca="1" si="44"/>
        <v>9.0285011244094736E-3</v>
      </c>
      <c r="AB66" s="27">
        <f t="shared" ca="1" si="44"/>
        <v>1.0714129666023182E-2</v>
      </c>
      <c r="AC66" s="27">
        <f t="shared" ca="1" si="44"/>
        <v>1.3455481204044053E-2</v>
      </c>
      <c r="AD66" s="27">
        <f t="shared" ca="1" si="44"/>
        <v>1.3489922523752789E-2</v>
      </c>
      <c r="AE66" s="27">
        <f t="shared" ca="1" si="44"/>
        <v>7.1841287565632224E-3</v>
      </c>
      <c r="AF66" s="27">
        <f t="shared" ca="1" si="44"/>
        <v>1.0495964363822406E-2</v>
      </c>
      <c r="AG66" s="27"/>
    </row>
    <row r="67" spans="1:33">
      <c r="A67" s="2"/>
      <c r="B67" s="2" t="s">
        <v>44</v>
      </c>
      <c r="C67" s="9"/>
      <c r="D67" s="27">
        <f t="shared" ref="D67:AF67" ca="1" si="45">(D51-C51)/D51</f>
        <v>0.26963478814259806</v>
      </c>
      <c r="E67" s="27">
        <f t="shared" ca="1" si="45"/>
        <v>0.23771522212266044</v>
      </c>
      <c r="F67" s="27">
        <f t="shared" ca="1" si="45"/>
        <v>0.20782855956816026</v>
      </c>
      <c r="G67" s="27">
        <f t="shared" ca="1" si="45"/>
        <v>0.18120873429446574</v>
      </c>
      <c r="H67" s="27">
        <f t="shared" ca="1" si="45"/>
        <v>0.16094429024976814</v>
      </c>
      <c r="I67" s="27">
        <f t="shared" ca="1" si="45"/>
        <v>0.1405380657909335</v>
      </c>
      <c r="J67" s="27">
        <f t="shared" ca="1" si="45"/>
        <v>0.12244206127101284</v>
      </c>
      <c r="K67" s="27">
        <f t="shared" ca="1" si="45"/>
        <v>0.10979697123762551</v>
      </c>
      <c r="L67" s="27">
        <f t="shared" ca="1" si="45"/>
        <v>0.10011653250299528</v>
      </c>
      <c r="M67" s="27">
        <f t="shared" ca="1" si="45"/>
        <v>8.5724825218471842E-2</v>
      </c>
      <c r="N67" s="27">
        <f t="shared" ca="1" si="45"/>
        <v>7.6792850474867336E-2</v>
      </c>
      <c r="O67" s="27">
        <f t="shared" ca="1" si="45"/>
        <v>7.0842292617957422E-2</v>
      </c>
      <c r="P67" s="27">
        <f t="shared" ca="1" si="45"/>
        <v>6.5683704176928939E-2</v>
      </c>
      <c r="Q67" s="27">
        <f t="shared" ca="1" si="45"/>
        <v>6.0328034770004306E-2</v>
      </c>
      <c r="R67" s="27">
        <f t="shared" ca="1" si="45"/>
        <v>5.6289521463814572E-2</v>
      </c>
      <c r="S67" s="27">
        <f t="shared" ca="1" si="45"/>
        <v>5.2971088428605095E-2</v>
      </c>
      <c r="T67" s="27">
        <f t="shared" ca="1" si="45"/>
        <v>4.9823213720249539E-2</v>
      </c>
      <c r="U67" s="27">
        <f t="shared" ca="1" si="45"/>
        <v>4.6928934355406918E-2</v>
      </c>
      <c r="V67" s="27">
        <f t="shared" ca="1" si="45"/>
        <v>4.4396481101830088E-2</v>
      </c>
      <c r="W67" s="27">
        <f t="shared" ca="1" si="45"/>
        <v>4.1377230708640904E-2</v>
      </c>
      <c r="X67" s="27">
        <f t="shared" ca="1" si="45"/>
        <v>3.8920142588862047E-2</v>
      </c>
      <c r="Y67" s="27">
        <f t="shared" ca="1" si="45"/>
        <v>3.7357473642091583E-2</v>
      </c>
      <c r="Z67" s="27">
        <f t="shared" ca="1" si="45"/>
        <v>3.6192625088616752E-2</v>
      </c>
      <c r="AA67" s="27">
        <f t="shared" ca="1" si="45"/>
        <v>3.3692394717001389E-2</v>
      </c>
      <c r="AB67" s="27">
        <f t="shared" ca="1" si="45"/>
        <v>3.2362424496102098E-2</v>
      </c>
      <c r="AC67" s="27">
        <f t="shared" ca="1" si="45"/>
        <v>3.0533375466060018E-2</v>
      </c>
      <c r="AD67" s="27">
        <f t="shared" ca="1" si="45"/>
        <v>2.89178977872654E-2</v>
      </c>
      <c r="AE67" s="27">
        <f t="shared" ca="1" si="45"/>
        <v>2.8113525827513242E-2</v>
      </c>
      <c r="AF67" s="27">
        <f t="shared" ca="1" si="45"/>
        <v>2.7450036645846561E-2</v>
      </c>
      <c r="AG67" s="27"/>
    </row>
    <row r="68" spans="1:33">
      <c r="A68" s="2"/>
    </row>
    <row r="69" spans="1:33">
      <c r="B69" s="23" t="s">
        <v>56</v>
      </c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A70" s="20" t="s">
        <v>57</v>
      </c>
      <c r="B70" s="2"/>
      <c r="C70" s="24">
        <f ca="1">'Dayton Kettering MSA Pop'!D16</f>
        <v>167043</v>
      </c>
      <c r="D70" s="24">
        <f ca="1">'Dayton Kettering MSA Pop'!E16</f>
        <v>167830.31034482759</v>
      </c>
      <c r="E70" s="24">
        <f ca="1">'Dayton Kettering MSA Pop'!F16</f>
        <v>168617.62068965519</v>
      </c>
      <c r="F70" s="24">
        <f ca="1">'Dayton Kettering MSA Pop'!G16</f>
        <v>169404.93103448278</v>
      </c>
      <c r="G70" s="24">
        <f ca="1">'Dayton Kettering MSA Pop'!H16</f>
        <v>170192.24137931038</v>
      </c>
      <c r="H70" s="24">
        <f ca="1">'Dayton Kettering MSA Pop'!I16</f>
        <v>170979.55172413797</v>
      </c>
      <c r="I70" s="24">
        <f ca="1">'Dayton Kettering MSA Pop'!J16</f>
        <v>171766.86206896557</v>
      </c>
      <c r="J70" s="24">
        <f ca="1">'Dayton Kettering MSA Pop'!K16</f>
        <v>172554.17241379316</v>
      </c>
      <c r="K70" s="24">
        <f ca="1">'Dayton Kettering MSA Pop'!L16</f>
        <v>173341.48275862075</v>
      </c>
      <c r="L70" s="24">
        <f ca="1">'Dayton Kettering MSA Pop'!M16</f>
        <v>174128.79310344835</v>
      </c>
      <c r="M70" s="24">
        <f ca="1">'Dayton Kettering MSA Pop'!N16</f>
        <v>174916.10344827594</v>
      </c>
      <c r="N70" s="24">
        <f ca="1">'Dayton Kettering MSA Pop'!O16</f>
        <v>175703.41379310354</v>
      </c>
      <c r="O70" s="24">
        <f ca="1">'Dayton Kettering MSA Pop'!P16</f>
        <v>176490.72413793113</v>
      </c>
      <c r="P70" s="24">
        <f ca="1">'Dayton Kettering MSA Pop'!Q16</f>
        <v>177278.03448275873</v>
      </c>
      <c r="Q70" s="24">
        <f ca="1">'Dayton Kettering MSA Pop'!R16</f>
        <v>178065.34482758632</v>
      </c>
      <c r="R70" s="24">
        <f ca="1">'Dayton Kettering MSA Pop'!S16</f>
        <v>178852.65517241391</v>
      </c>
      <c r="S70" s="24">
        <f ca="1">'Dayton Kettering MSA Pop'!T16</f>
        <v>179639.96551724151</v>
      </c>
      <c r="T70" s="24">
        <f ca="1">'Dayton Kettering MSA Pop'!U16</f>
        <v>180427.2758620691</v>
      </c>
      <c r="U70" s="24">
        <f ca="1">'Dayton Kettering MSA Pop'!V16</f>
        <v>181214.5862068967</v>
      </c>
      <c r="V70" s="24">
        <f ca="1">'Dayton Kettering MSA Pop'!W16</f>
        <v>182001.89655172429</v>
      </c>
      <c r="W70" s="24">
        <f ca="1">'Dayton Kettering MSA Pop'!X16</f>
        <v>182789.20689655188</v>
      </c>
      <c r="X70" s="24">
        <f ca="1">'Dayton Kettering MSA Pop'!Y16</f>
        <v>183576.51724137948</v>
      </c>
      <c r="Y70" s="24">
        <f ca="1">'Dayton Kettering MSA Pop'!Z16</f>
        <v>184363.82758620707</v>
      </c>
      <c r="Z70" s="24">
        <f ca="1">'Dayton Kettering MSA Pop'!AA16</f>
        <v>185151.13793103467</v>
      </c>
      <c r="AA70" s="24">
        <f ca="1">'Dayton Kettering MSA Pop'!AB16</f>
        <v>185938.44827586226</v>
      </c>
      <c r="AB70" s="24">
        <f ca="1">'Dayton Kettering MSA Pop'!AC16</f>
        <v>186725.75862068986</v>
      </c>
      <c r="AC70" s="24">
        <f ca="1">'Dayton Kettering MSA Pop'!AD16</f>
        <v>187513.06896551745</v>
      </c>
      <c r="AD70" s="24">
        <f ca="1">'Dayton Kettering MSA Pop'!AE16</f>
        <v>188300.37931034504</v>
      </c>
      <c r="AE70" s="24">
        <f ca="1">'Dayton Kettering MSA Pop'!AF16</f>
        <v>189087.68965517264</v>
      </c>
      <c r="AF70" s="24">
        <f>'Dayton Kettering MSA Pop'!AG16</f>
        <v>189875</v>
      </c>
      <c r="AG70" s="25">
        <f t="shared" ref="AG70:AG83" ca="1" si="46">AF70/C70</f>
        <v>1.1366833689529043</v>
      </c>
    </row>
    <row r="71" spans="1:33">
      <c r="A71" s="2" t="s">
        <v>43</v>
      </c>
      <c r="B71" s="2" t="s">
        <v>44</v>
      </c>
      <c r="C71" s="24">
        <f t="shared" ref="C71:AF71" ca="1" si="47">C22*C$70</f>
        <v>766978004.21570218</v>
      </c>
      <c r="D71" s="24">
        <f t="shared" ca="1" si="47"/>
        <v>741233811.04611623</v>
      </c>
      <c r="E71" s="24">
        <f t="shared" ca="1" si="47"/>
        <v>776220302.4280138</v>
      </c>
      <c r="F71" s="24">
        <f t="shared" ca="1" si="47"/>
        <v>786391862.52375054</v>
      </c>
      <c r="G71" s="24">
        <f t="shared" ca="1" si="47"/>
        <v>795287286.64230204</v>
      </c>
      <c r="H71" s="24">
        <f t="shared" ca="1" si="47"/>
        <v>802414002.82865131</v>
      </c>
      <c r="I71" s="24">
        <f t="shared" ca="1" si="47"/>
        <v>808778678.96939635</v>
      </c>
      <c r="J71" s="24">
        <f t="shared" ca="1" si="47"/>
        <v>815206712.94904137</v>
      </c>
      <c r="K71" s="24">
        <f t="shared" ca="1" si="47"/>
        <v>821993570.29887223</v>
      </c>
      <c r="L71" s="24">
        <f t="shared" ca="1" si="47"/>
        <v>827166034.49256396</v>
      </c>
      <c r="M71" s="24">
        <f t="shared" ca="1" si="47"/>
        <v>827290112.80075419</v>
      </c>
      <c r="N71" s="24">
        <f t="shared" ca="1" si="47"/>
        <v>828182862.96458995</v>
      </c>
      <c r="O71" s="24">
        <f t="shared" ca="1" si="47"/>
        <v>830050899.86937451</v>
      </c>
      <c r="P71" s="24">
        <f t="shared" ca="1" si="47"/>
        <v>832773033.15770054</v>
      </c>
      <c r="Q71" s="24">
        <f t="shared" ca="1" si="47"/>
        <v>836133576.80945921</v>
      </c>
      <c r="R71" s="24">
        <f t="shared" ca="1" si="47"/>
        <v>839668318.5973475</v>
      </c>
      <c r="S71" s="24">
        <f t="shared" ca="1" si="47"/>
        <v>843823816.11899173</v>
      </c>
      <c r="T71" s="24">
        <f t="shared" ca="1" si="47"/>
        <v>847953252.28459489</v>
      </c>
      <c r="U71" s="24">
        <f t="shared" ca="1" si="47"/>
        <v>851969356.3542496</v>
      </c>
      <c r="V71" s="24">
        <f t="shared" ca="1" si="47"/>
        <v>855307493.62194324</v>
      </c>
      <c r="W71" s="24">
        <f t="shared" ca="1" si="47"/>
        <v>858343226.55894291</v>
      </c>
      <c r="X71" s="24">
        <f t="shared" ca="1" si="47"/>
        <v>862079520.62619305</v>
      </c>
      <c r="Y71" s="24">
        <f t="shared" ca="1" si="47"/>
        <v>866316679.91336799</v>
      </c>
      <c r="Z71" s="24">
        <f t="shared" ca="1" si="47"/>
        <v>871166271.84134102</v>
      </c>
      <c r="AA71" s="24">
        <f t="shared" ca="1" si="47"/>
        <v>876300929.22216165</v>
      </c>
      <c r="AB71" s="24">
        <f t="shared" ca="1" si="47"/>
        <v>881708093.51913047</v>
      </c>
      <c r="AC71" s="24">
        <f t="shared" ca="1" si="47"/>
        <v>887168828.03194273</v>
      </c>
      <c r="AD71" s="24">
        <f t="shared" ca="1" si="47"/>
        <v>893212682.29220498</v>
      </c>
      <c r="AE71" s="24">
        <f t="shared" ca="1" si="47"/>
        <v>899860393.57462442</v>
      </c>
      <c r="AF71" s="24">
        <f t="shared" si="47"/>
        <v>907084466.30539763</v>
      </c>
      <c r="AG71" s="25">
        <f t="shared" ca="1" si="46"/>
        <v>1.1826733769672648</v>
      </c>
    </row>
    <row r="72" spans="1:33">
      <c r="A72" s="2"/>
      <c r="B72" s="2" t="s">
        <v>14</v>
      </c>
      <c r="C72" s="24">
        <f t="shared" ref="C72:AF72" ca="1" si="48">C23*C$70</f>
        <v>3943.1933663926002</v>
      </c>
      <c r="D72" s="24">
        <f t="shared" ca="1" si="48"/>
        <v>3824.5242526280608</v>
      </c>
      <c r="E72" s="24">
        <f t="shared" ca="1" si="48"/>
        <v>4226.5938174673938</v>
      </c>
      <c r="F72" s="24">
        <f t="shared" ca="1" si="48"/>
        <v>4269.0683919576823</v>
      </c>
      <c r="G72" s="24">
        <f t="shared" ca="1" si="48"/>
        <v>4301.7166824383348</v>
      </c>
      <c r="H72" s="24">
        <f t="shared" ca="1" si="48"/>
        <v>4312.4006885310264</v>
      </c>
      <c r="I72" s="24">
        <f t="shared" ca="1" si="48"/>
        <v>4313.3737345952813</v>
      </c>
      <c r="J72" s="24">
        <f t="shared" ca="1" si="48"/>
        <v>4308.1884859676375</v>
      </c>
      <c r="K72" s="24">
        <f t="shared" ca="1" si="48"/>
        <v>4297.7053665097928</v>
      </c>
      <c r="L72" s="24">
        <f t="shared" ca="1" si="48"/>
        <v>4290.9459080718507</v>
      </c>
      <c r="M72" s="24">
        <f t="shared" ca="1" si="48"/>
        <v>4259.5257371369025</v>
      </c>
      <c r="N72" s="24">
        <f t="shared" ca="1" si="48"/>
        <v>4232.0269601044756</v>
      </c>
      <c r="O72" s="24">
        <f t="shared" ca="1" si="48"/>
        <v>4203.9876853282958</v>
      </c>
      <c r="P72" s="24">
        <f t="shared" ca="1" si="48"/>
        <v>4178.986488379509</v>
      </c>
      <c r="Q72" s="24">
        <f t="shared" ca="1" si="48"/>
        <v>4157.963283616401</v>
      </c>
      <c r="R72" s="24">
        <f t="shared" ca="1" si="48"/>
        <v>4137.9516074622443</v>
      </c>
      <c r="S72" s="24">
        <f t="shared" ca="1" si="48"/>
        <v>4116.9380385702252</v>
      </c>
      <c r="T72" s="24">
        <f t="shared" ca="1" si="48"/>
        <v>4095.8986203657819</v>
      </c>
      <c r="U72" s="24">
        <f t="shared" ca="1" si="48"/>
        <v>4075.6121140517776</v>
      </c>
      <c r="V72" s="24">
        <f t="shared" ca="1" si="48"/>
        <v>4056.5707876888273</v>
      </c>
      <c r="W72" s="24">
        <f t="shared" ca="1" si="48"/>
        <v>4038.1131145377717</v>
      </c>
      <c r="X72" s="24">
        <f t="shared" ca="1" si="48"/>
        <v>4020.0429799555482</v>
      </c>
      <c r="Y72" s="24">
        <f t="shared" ca="1" si="48"/>
        <v>4002.075058725</v>
      </c>
      <c r="Z72" s="24">
        <f t="shared" ca="1" si="48"/>
        <v>3986.1810237964751</v>
      </c>
      <c r="AA72" s="24">
        <f t="shared" ca="1" si="48"/>
        <v>3969.4297039567555</v>
      </c>
      <c r="AB72" s="24">
        <f t="shared" ca="1" si="48"/>
        <v>3952.1803041957605</v>
      </c>
      <c r="AC72" s="24">
        <f t="shared" ca="1" si="48"/>
        <v>3934.3586108092286</v>
      </c>
      <c r="AD72" s="24">
        <f t="shared" ca="1" si="48"/>
        <v>3916.24836070533</v>
      </c>
      <c r="AE72" s="24">
        <f t="shared" ca="1" si="48"/>
        <v>3897.5068670086639</v>
      </c>
      <c r="AF72" s="24">
        <f t="shared" si="48"/>
        <v>3878.3580699552977</v>
      </c>
      <c r="AG72" s="25">
        <f t="shared" ca="1" si="46"/>
        <v>0.98355766750119678</v>
      </c>
    </row>
    <row r="73" spans="1:33">
      <c r="A73" s="2" t="s">
        <v>45</v>
      </c>
      <c r="B73" s="2" t="s">
        <v>44</v>
      </c>
      <c r="C73" s="24">
        <f t="shared" ref="C73:AF73" ca="1" si="49">C24*C$70</f>
        <v>641048663.21111917</v>
      </c>
      <c r="D73" s="24">
        <f t="shared" ca="1" si="49"/>
        <v>648081616.68029213</v>
      </c>
      <c r="E73" s="24">
        <f t="shared" ca="1" si="49"/>
        <v>655431429.33088183</v>
      </c>
      <c r="F73" s="24">
        <f t="shared" ca="1" si="49"/>
        <v>659085812.01351595</v>
      </c>
      <c r="G73" s="24">
        <f t="shared" ca="1" si="49"/>
        <v>662940421.78237033</v>
      </c>
      <c r="H73" s="24">
        <f t="shared" ca="1" si="49"/>
        <v>664611589.45637763</v>
      </c>
      <c r="I73" s="24">
        <f t="shared" ca="1" si="49"/>
        <v>668364953.28173816</v>
      </c>
      <c r="J73" s="24">
        <f t="shared" ca="1" si="49"/>
        <v>671806907.18652046</v>
      </c>
      <c r="K73" s="24">
        <f t="shared" ca="1" si="49"/>
        <v>675478193.87010658</v>
      </c>
      <c r="L73" s="24">
        <f t="shared" ca="1" si="49"/>
        <v>677151425.89162374</v>
      </c>
      <c r="M73" s="24">
        <f t="shared" ca="1" si="49"/>
        <v>675916437.20661294</v>
      </c>
      <c r="N73" s="24">
        <f t="shared" ca="1" si="49"/>
        <v>675494296.23085666</v>
      </c>
      <c r="O73" s="24">
        <f t="shared" ca="1" si="49"/>
        <v>676110399.24052668</v>
      </c>
      <c r="P73" s="24">
        <f t="shared" ca="1" si="49"/>
        <v>677560571.40961385</v>
      </c>
      <c r="Q73" s="24">
        <f t="shared" ca="1" si="49"/>
        <v>679442627.52115881</v>
      </c>
      <c r="R73" s="24">
        <f t="shared" ca="1" si="49"/>
        <v>681377988.87786365</v>
      </c>
      <c r="S73" s="24">
        <f t="shared" ca="1" si="49"/>
        <v>683544573.87621725</v>
      </c>
      <c r="T73" s="24">
        <f t="shared" ca="1" si="49"/>
        <v>685919408.02275395</v>
      </c>
      <c r="U73" s="24">
        <f t="shared" ca="1" si="49"/>
        <v>687899989.97187793</v>
      </c>
      <c r="V73" s="24">
        <f t="shared" ca="1" si="49"/>
        <v>689339697.22730064</v>
      </c>
      <c r="W73" s="24">
        <f t="shared" ca="1" si="49"/>
        <v>691632192.56556773</v>
      </c>
      <c r="X73" s="24">
        <f t="shared" ca="1" si="49"/>
        <v>694663571.33209276</v>
      </c>
      <c r="Y73" s="24">
        <f t="shared" ca="1" si="49"/>
        <v>698131615.48263764</v>
      </c>
      <c r="Z73" s="24">
        <f t="shared" ca="1" si="49"/>
        <v>701670890.24420071</v>
      </c>
      <c r="AA73" s="24">
        <f t="shared" ca="1" si="49"/>
        <v>705594139.78594029</v>
      </c>
      <c r="AB73" s="24">
        <f t="shared" ca="1" si="49"/>
        <v>708860676.11839759</v>
      </c>
      <c r="AC73" s="24">
        <f t="shared" ca="1" si="49"/>
        <v>712741810.101215</v>
      </c>
      <c r="AD73" s="24">
        <f t="shared" ca="1" si="49"/>
        <v>716694687.29837596</v>
      </c>
      <c r="AE73" s="24">
        <f t="shared" ca="1" si="49"/>
        <v>721440822.82355189</v>
      </c>
      <c r="AF73" s="24">
        <f t="shared" si="49"/>
        <v>726434345.83012116</v>
      </c>
      <c r="AG73" s="25">
        <f t="shared" ca="1" si="46"/>
        <v>1.1331968811716897</v>
      </c>
    </row>
    <row r="74" spans="1:33">
      <c r="A74" s="2"/>
      <c r="B74" s="2" t="s">
        <v>14</v>
      </c>
      <c r="C74" s="24">
        <f t="shared" ref="C74:AF74" ca="1" si="50">C25*C$70</f>
        <v>2586.3481143371018</v>
      </c>
      <c r="D74" s="24">
        <f t="shared" ca="1" si="50"/>
        <v>2688.2937607533081</v>
      </c>
      <c r="E74" s="24">
        <f t="shared" ca="1" si="50"/>
        <v>2663.9440317753251</v>
      </c>
      <c r="F74" s="24">
        <f t="shared" ca="1" si="50"/>
        <v>2686.0220889912098</v>
      </c>
      <c r="G74" s="24">
        <f t="shared" ca="1" si="50"/>
        <v>2714.3360226874333</v>
      </c>
      <c r="H74" s="24">
        <f t="shared" ca="1" si="50"/>
        <v>2731.6619230524457</v>
      </c>
      <c r="I74" s="24">
        <f t="shared" ca="1" si="50"/>
        <v>2758.7531469952619</v>
      </c>
      <c r="J74" s="24">
        <f t="shared" ca="1" si="50"/>
        <v>2774.226176099543</v>
      </c>
      <c r="K74" s="24">
        <f t="shared" ca="1" si="50"/>
        <v>2780.0603555523758</v>
      </c>
      <c r="L74" s="24">
        <f t="shared" ca="1" si="50"/>
        <v>2787.733990324768</v>
      </c>
      <c r="M74" s="24">
        <f t="shared" ca="1" si="50"/>
        <v>2782.6137614360946</v>
      </c>
      <c r="N74" s="24">
        <f t="shared" ca="1" si="50"/>
        <v>2781.2506018661065</v>
      </c>
      <c r="O74" s="24">
        <f t="shared" ca="1" si="50"/>
        <v>2777.8896765452</v>
      </c>
      <c r="P74" s="24">
        <f t="shared" ca="1" si="50"/>
        <v>2777.1503948248096</v>
      </c>
      <c r="Q74" s="24">
        <f t="shared" ca="1" si="50"/>
        <v>2779.7636587484271</v>
      </c>
      <c r="R74" s="24">
        <f t="shared" ca="1" si="50"/>
        <v>2781.9388563918046</v>
      </c>
      <c r="S74" s="24">
        <f t="shared" ca="1" si="50"/>
        <v>2781.2156285246838</v>
      </c>
      <c r="T74" s="24">
        <f t="shared" ca="1" si="50"/>
        <v>2778.9639680050695</v>
      </c>
      <c r="U74" s="24">
        <f t="shared" ca="1" si="50"/>
        <v>2776.2506248620398</v>
      </c>
      <c r="V74" s="24">
        <f t="shared" ca="1" si="50"/>
        <v>2773.4956117844731</v>
      </c>
      <c r="W74" s="24">
        <f t="shared" ca="1" si="50"/>
        <v>2771.3574152163565</v>
      </c>
      <c r="X74" s="24">
        <f t="shared" ca="1" si="50"/>
        <v>2769.6551641661472</v>
      </c>
      <c r="Y74" s="24">
        <f t="shared" ca="1" si="50"/>
        <v>2767.8346620767979</v>
      </c>
      <c r="Z74" s="24">
        <f t="shared" ca="1" si="50"/>
        <v>2767.7188826094607</v>
      </c>
      <c r="AA74" s="24">
        <f t="shared" ca="1" si="50"/>
        <v>2767.0197738445077</v>
      </c>
      <c r="AB74" s="24">
        <f t="shared" ca="1" si="50"/>
        <v>2765.559077683366</v>
      </c>
      <c r="AC74" s="24">
        <f t="shared" ca="1" si="50"/>
        <v>2763.3230125850719</v>
      </c>
      <c r="AD74" s="24">
        <f t="shared" ca="1" si="50"/>
        <v>2760.7897668325636</v>
      </c>
      <c r="AE74" s="24">
        <f t="shared" ca="1" si="50"/>
        <v>2757.4828677993396</v>
      </c>
      <c r="AF74" s="24">
        <f t="shared" si="50"/>
        <v>2753.6267841737904</v>
      </c>
      <c r="AG74" s="25">
        <f t="shared" ca="1" si="46"/>
        <v>1.0646775540034228</v>
      </c>
    </row>
    <row r="75" spans="1:33">
      <c r="A75" s="2"/>
      <c r="B75" s="2" t="s">
        <v>46</v>
      </c>
      <c r="C75" s="24">
        <f t="shared" ref="C75:AF75" ca="1" si="51">C26*C$70</f>
        <v>216.62941983556013</v>
      </c>
      <c r="D75" s="24">
        <f t="shared" ca="1" si="51"/>
        <v>218.57673717323019</v>
      </c>
      <c r="E75" s="24">
        <f t="shared" ca="1" si="51"/>
        <v>222.22588580196631</v>
      </c>
      <c r="F75" s="24">
        <f t="shared" ca="1" si="51"/>
        <v>223.71128679758033</v>
      </c>
      <c r="G75" s="24">
        <f t="shared" ca="1" si="51"/>
        <v>225.75474375620226</v>
      </c>
      <c r="H75" s="24">
        <f t="shared" ca="1" si="51"/>
        <v>227.38289673016018</v>
      </c>
      <c r="I75" s="24">
        <f t="shared" ca="1" si="51"/>
        <v>229.4327224441561</v>
      </c>
      <c r="J75" s="24">
        <f t="shared" ca="1" si="51"/>
        <v>230.92707356301983</v>
      </c>
      <c r="K75" s="24">
        <f t="shared" ca="1" si="51"/>
        <v>232.3963262620118</v>
      </c>
      <c r="L75" s="24">
        <f t="shared" ca="1" si="51"/>
        <v>233.49327992202507</v>
      </c>
      <c r="M75" s="24">
        <f t="shared" ca="1" si="51"/>
        <v>233.45748472465183</v>
      </c>
      <c r="N75" s="24">
        <f t="shared" ca="1" si="51"/>
        <v>233.45324631048382</v>
      </c>
      <c r="O75" s="24">
        <f t="shared" ca="1" si="51"/>
        <v>233.66102093480595</v>
      </c>
      <c r="P75" s="24">
        <f t="shared" ca="1" si="51"/>
        <v>233.74960580980834</v>
      </c>
      <c r="Q75" s="24">
        <f t="shared" ca="1" si="51"/>
        <v>233.98967302337368</v>
      </c>
      <c r="R75" s="24">
        <f t="shared" ca="1" si="51"/>
        <v>234.08060124949714</v>
      </c>
      <c r="S75" s="24">
        <f t="shared" ca="1" si="51"/>
        <v>234.18772883318613</v>
      </c>
      <c r="T75" s="24">
        <f t="shared" ca="1" si="51"/>
        <v>234.16104108638908</v>
      </c>
      <c r="U75" s="24">
        <f t="shared" ca="1" si="51"/>
        <v>234.49536149144865</v>
      </c>
      <c r="V75" s="24">
        <f t="shared" ca="1" si="51"/>
        <v>234.51598175543964</v>
      </c>
      <c r="W75" s="24">
        <f t="shared" ca="1" si="51"/>
        <v>234.70247931627523</v>
      </c>
      <c r="X75" s="24">
        <f t="shared" ca="1" si="51"/>
        <v>234.9946974841161</v>
      </c>
      <c r="Y75" s="24">
        <f t="shared" ca="1" si="51"/>
        <v>235.03360389710284</v>
      </c>
      <c r="Z75" s="24">
        <f t="shared" ca="1" si="51"/>
        <v>235.05871606755758</v>
      </c>
      <c r="AA75" s="24">
        <f t="shared" ca="1" si="51"/>
        <v>235.27911433509036</v>
      </c>
      <c r="AB75" s="24">
        <f t="shared" ca="1" si="51"/>
        <v>235.33624505883125</v>
      </c>
      <c r="AC75" s="24">
        <f t="shared" ca="1" si="51"/>
        <v>235.63311991474657</v>
      </c>
      <c r="AD75" s="24">
        <f t="shared" ca="1" si="51"/>
        <v>236.02023634244182</v>
      </c>
      <c r="AE75" s="24">
        <f t="shared" ca="1" si="51"/>
        <v>236.36333690723021</v>
      </c>
      <c r="AF75" s="24">
        <f t="shared" si="51"/>
        <v>236.70716022272762</v>
      </c>
      <c r="AG75" s="25">
        <f t="shared" ca="1" si="46"/>
        <v>1.0926824269871016</v>
      </c>
    </row>
    <row r="76" spans="1:33">
      <c r="A76" s="2"/>
      <c r="B76" s="2" t="s">
        <v>47</v>
      </c>
      <c r="C76" s="24">
        <f t="shared" ref="C76:AF76" ca="1" si="52">C27*C$70</f>
        <v>207.14419295991777</v>
      </c>
      <c r="D76" s="24">
        <f t="shared" ca="1" si="52"/>
        <v>215.04968055678799</v>
      </c>
      <c r="E76" s="24">
        <f t="shared" ca="1" si="52"/>
        <v>228.0487776082752</v>
      </c>
      <c r="F76" s="24">
        <f t="shared" ca="1" si="52"/>
        <v>228.25867890656755</v>
      </c>
      <c r="G76" s="24">
        <f t="shared" ca="1" si="52"/>
        <v>228.76089656360864</v>
      </c>
      <c r="H76" s="24">
        <f t="shared" ca="1" si="52"/>
        <v>229.28512718918682</v>
      </c>
      <c r="I76" s="24">
        <f t="shared" ca="1" si="52"/>
        <v>232.41313847280441</v>
      </c>
      <c r="J76" s="24">
        <f t="shared" ca="1" si="52"/>
        <v>234.10291722707737</v>
      </c>
      <c r="K76" s="24">
        <f t="shared" ca="1" si="52"/>
        <v>234.91504007479921</v>
      </c>
      <c r="L76" s="24">
        <f t="shared" ca="1" si="52"/>
        <v>235.63389879664106</v>
      </c>
      <c r="M76" s="24">
        <f t="shared" ca="1" si="52"/>
        <v>234.67772452994942</v>
      </c>
      <c r="N76" s="24">
        <f t="shared" ca="1" si="52"/>
        <v>233.72423092605024</v>
      </c>
      <c r="O76" s="24">
        <f t="shared" ca="1" si="52"/>
        <v>232.83355611274592</v>
      </c>
      <c r="P76" s="24">
        <f t="shared" ca="1" si="52"/>
        <v>232.12582260871105</v>
      </c>
      <c r="Q76" s="24">
        <f t="shared" ca="1" si="52"/>
        <v>231.3602379255062</v>
      </c>
      <c r="R76" s="24">
        <f t="shared" ca="1" si="52"/>
        <v>230.46180434776329</v>
      </c>
      <c r="S76" s="24">
        <f t="shared" ca="1" si="52"/>
        <v>229.29568733635037</v>
      </c>
      <c r="T76" s="24">
        <f t="shared" ca="1" si="52"/>
        <v>228.19228904640045</v>
      </c>
      <c r="U76" s="24">
        <f t="shared" ca="1" si="52"/>
        <v>227.28634520118999</v>
      </c>
      <c r="V76" s="24">
        <f t="shared" ca="1" si="52"/>
        <v>226.24793411355407</v>
      </c>
      <c r="W76" s="24">
        <f t="shared" ca="1" si="52"/>
        <v>225.2718675445262</v>
      </c>
      <c r="X76" s="24">
        <f t="shared" ca="1" si="52"/>
        <v>224.49264263092985</v>
      </c>
      <c r="Y76" s="24">
        <f t="shared" ca="1" si="52"/>
        <v>223.49124116118912</v>
      </c>
      <c r="Z76" s="24">
        <f t="shared" ca="1" si="52"/>
        <v>222.26803137149068</v>
      </c>
      <c r="AA76" s="24">
        <f t="shared" ca="1" si="52"/>
        <v>221.13698032840483</v>
      </c>
      <c r="AB76" s="24">
        <f t="shared" ca="1" si="52"/>
        <v>220.0829699161292</v>
      </c>
      <c r="AC76" s="24">
        <f t="shared" ca="1" si="52"/>
        <v>219.22516701823324</v>
      </c>
      <c r="AD76" s="24">
        <f t="shared" ca="1" si="52"/>
        <v>218.5930220748626</v>
      </c>
      <c r="AE76" s="24">
        <f t="shared" ca="1" si="52"/>
        <v>218.0818307054418</v>
      </c>
      <c r="AF76" s="24">
        <f t="shared" si="52"/>
        <v>217.66158536585365</v>
      </c>
      <c r="AG76" s="25">
        <f t="shared" ca="1" si="46"/>
        <v>1.0507732910860359</v>
      </c>
    </row>
    <row r="77" spans="1:33">
      <c r="A77" s="2" t="s">
        <v>48</v>
      </c>
      <c r="B77" s="2" t="s">
        <v>44</v>
      </c>
      <c r="C77" s="24">
        <f t="shared" ref="C77:AF77" ca="1" si="53">C28*C$70</f>
        <v>697530353.31579876</v>
      </c>
      <c r="D77" s="24">
        <f t="shared" ca="1" si="53"/>
        <v>720046625.33543825</v>
      </c>
      <c r="E77" s="24">
        <f t="shared" ca="1" si="53"/>
        <v>744591540.54310727</v>
      </c>
      <c r="F77" s="24">
        <f t="shared" ca="1" si="53"/>
        <v>749900239.91772211</v>
      </c>
      <c r="G77" s="24">
        <f t="shared" ca="1" si="53"/>
        <v>760962568.9014852</v>
      </c>
      <c r="H77" s="24">
        <f t="shared" ca="1" si="53"/>
        <v>772366141.30121517</v>
      </c>
      <c r="I77" s="24">
        <f t="shared" ca="1" si="53"/>
        <v>778874729.8317523</v>
      </c>
      <c r="J77" s="24">
        <f t="shared" ca="1" si="53"/>
        <v>784994748.59454811</v>
      </c>
      <c r="K77" s="24">
        <f t="shared" ca="1" si="53"/>
        <v>793972288.43325353</v>
      </c>
      <c r="L77" s="24">
        <f t="shared" ca="1" si="53"/>
        <v>800429121.731462</v>
      </c>
      <c r="M77" s="24">
        <f t="shared" ca="1" si="53"/>
        <v>802991685.73679984</v>
      </c>
      <c r="N77" s="24">
        <f t="shared" ca="1" si="53"/>
        <v>806173291.04133177</v>
      </c>
      <c r="O77" s="24">
        <f t="shared" ca="1" si="53"/>
        <v>808560047.03004026</v>
      </c>
      <c r="P77" s="24">
        <f t="shared" ca="1" si="53"/>
        <v>810503811.86369443</v>
      </c>
      <c r="Q77" s="24">
        <f t="shared" ca="1" si="53"/>
        <v>813062666.27417469</v>
      </c>
      <c r="R77" s="24">
        <f t="shared" ca="1" si="53"/>
        <v>815628660.65949631</v>
      </c>
      <c r="S77" s="24">
        <f t="shared" ca="1" si="53"/>
        <v>820019682.97606218</v>
      </c>
      <c r="T77" s="24">
        <f t="shared" ca="1" si="53"/>
        <v>823645842.08222532</v>
      </c>
      <c r="U77" s="24">
        <f t="shared" ca="1" si="53"/>
        <v>826495812.90967369</v>
      </c>
      <c r="V77" s="24">
        <f t="shared" ca="1" si="53"/>
        <v>828487546.99879837</v>
      </c>
      <c r="W77" s="24">
        <f t="shared" ca="1" si="53"/>
        <v>832327105.76239276</v>
      </c>
      <c r="X77" s="24">
        <f t="shared" ca="1" si="53"/>
        <v>837403146.268924</v>
      </c>
      <c r="Y77" s="24">
        <f t="shared" ca="1" si="53"/>
        <v>841742485.89624035</v>
      </c>
      <c r="Z77" s="24">
        <f t="shared" ca="1" si="53"/>
        <v>844896514.04478323</v>
      </c>
      <c r="AA77" s="24">
        <f t="shared" ca="1" si="53"/>
        <v>848533105.73421931</v>
      </c>
      <c r="AB77" s="24">
        <f t="shared" ca="1" si="53"/>
        <v>852545123.25839448</v>
      </c>
      <c r="AC77" s="24">
        <f t="shared" ca="1" si="53"/>
        <v>854500230.54290748</v>
      </c>
      <c r="AD77" s="24">
        <f t="shared" ca="1" si="53"/>
        <v>855273220.5463717</v>
      </c>
      <c r="AE77" s="24">
        <f t="shared" ca="1" si="53"/>
        <v>857867053.31130195</v>
      </c>
      <c r="AF77" s="24">
        <f t="shared" si="53"/>
        <v>863627265.79846668</v>
      </c>
      <c r="AG77" s="25">
        <f t="shared" ca="1" si="46"/>
        <v>1.2381214117681119</v>
      </c>
    </row>
    <row r="78" spans="1:33">
      <c r="A78" s="2"/>
      <c r="B78" s="2" t="s">
        <v>14</v>
      </c>
      <c r="C78" s="24">
        <f t="shared" ref="C78:AF78" ca="1" si="54">C29*C$70</f>
        <v>4668.1479689105854</v>
      </c>
      <c r="D78" s="24">
        <f t="shared" ca="1" si="54"/>
        <v>4797.3440520406293</v>
      </c>
      <c r="E78" s="24">
        <f t="shared" ca="1" si="54"/>
        <v>5002.6462411156763</v>
      </c>
      <c r="F78" s="24">
        <f t="shared" ca="1" si="54"/>
        <v>5033.7881649523688</v>
      </c>
      <c r="G78" s="24">
        <f t="shared" ca="1" si="54"/>
        <v>5081.7620114001684</v>
      </c>
      <c r="H78" s="24">
        <f t="shared" ca="1" si="54"/>
        <v>5158.096960280146</v>
      </c>
      <c r="I78" s="24">
        <f t="shared" ca="1" si="54"/>
        <v>5170.5621435511539</v>
      </c>
      <c r="J78" s="24">
        <f t="shared" ca="1" si="54"/>
        <v>5186.1825235342685</v>
      </c>
      <c r="K78" s="24">
        <f t="shared" ca="1" si="54"/>
        <v>5221.7884812644288</v>
      </c>
      <c r="L78" s="24">
        <f t="shared" ca="1" si="54"/>
        <v>5260.6161087112951</v>
      </c>
      <c r="M78" s="24">
        <f t="shared" ca="1" si="54"/>
        <v>5258.9925258093572</v>
      </c>
      <c r="N78" s="24">
        <f t="shared" ca="1" si="54"/>
        <v>5276.0253009758962</v>
      </c>
      <c r="O78" s="24">
        <f t="shared" ca="1" si="54"/>
        <v>5273.7642969173958</v>
      </c>
      <c r="P78" s="24">
        <f t="shared" ca="1" si="54"/>
        <v>5274.2883976381781</v>
      </c>
      <c r="Q78" s="24">
        <f t="shared" ca="1" si="54"/>
        <v>5292.3166101798515</v>
      </c>
      <c r="R78" s="24">
        <f t="shared" ca="1" si="54"/>
        <v>5301.7777131165376</v>
      </c>
      <c r="S78" s="24">
        <f t="shared" ca="1" si="54"/>
        <v>5318.7895829922354</v>
      </c>
      <c r="T78" s="24">
        <f t="shared" ca="1" si="54"/>
        <v>5343.172837485924</v>
      </c>
      <c r="U78" s="24">
        <f t="shared" ca="1" si="54"/>
        <v>5359.3715534324519</v>
      </c>
      <c r="V78" s="24">
        <f t="shared" ca="1" si="54"/>
        <v>5382.0496644522</v>
      </c>
      <c r="W78" s="24">
        <f t="shared" ca="1" si="54"/>
        <v>5418.1409396954186</v>
      </c>
      <c r="X78" s="24">
        <f t="shared" ca="1" si="54"/>
        <v>5467.2770033777479</v>
      </c>
      <c r="Y78" s="24">
        <f t="shared" ca="1" si="54"/>
        <v>5523.9774489470101</v>
      </c>
      <c r="Z78" s="24">
        <f t="shared" ca="1" si="54"/>
        <v>5552.0238166355502</v>
      </c>
      <c r="AA78" s="24">
        <f t="shared" ca="1" si="54"/>
        <v>5613.1279760938805</v>
      </c>
      <c r="AB78" s="24">
        <f t="shared" ca="1" si="54"/>
        <v>5653.5324046039541</v>
      </c>
      <c r="AC78" s="24">
        <f t="shared" ca="1" si="54"/>
        <v>5674.2728522763182</v>
      </c>
      <c r="AD78" s="24">
        <f t="shared" ca="1" si="54"/>
        <v>5706.0187936467264</v>
      </c>
      <c r="AE78" s="24">
        <f t="shared" ca="1" si="54"/>
        <v>5739.7224764739676</v>
      </c>
      <c r="AF78" s="24">
        <f t="shared" si="54"/>
        <v>5801.0974531409302</v>
      </c>
      <c r="AG78" s="25">
        <f t="shared" ca="1" si="46"/>
        <v>1.2426978518623828</v>
      </c>
    </row>
    <row r="79" spans="1:33">
      <c r="A79" s="2"/>
      <c r="B79" s="2" t="s">
        <v>47</v>
      </c>
      <c r="C79" s="24">
        <f t="shared" ref="C79:AF79" ca="1" si="55">C30*C$70</f>
        <v>511.41539234326825</v>
      </c>
      <c r="D79" s="24">
        <f t="shared" ca="1" si="55"/>
        <v>528.49704263758497</v>
      </c>
      <c r="E79" s="24">
        <f t="shared" ca="1" si="55"/>
        <v>533.48987094070014</v>
      </c>
      <c r="F79" s="24">
        <f t="shared" ca="1" si="55"/>
        <v>536.85461840524295</v>
      </c>
      <c r="G79" s="24">
        <f t="shared" ca="1" si="55"/>
        <v>543.49776341904021</v>
      </c>
      <c r="H79" s="24">
        <f t="shared" ca="1" si="55"/>
        <v>549.77409460379783</v>
      </c>
      <c r="I79" s="24">
        <f t="shared" ca="1" si="55"/>
        <v>552.78561964183666</v>
      </c>
      <c r="J79" s="24">
        <f t="shared" ca="1" si="55"/>
        <v>555.65336069686589</v>
      </c>
      <c r="K79" s="24">
        <f t="shared" ca="1" si="55"/>
        <v>559.61922910664566</v>
      </c>
      <c r="L79" s="24">
        <f t="shared" ca="1" si="55"/>
        <v>564.73143859764366</v>
      </c>
      <c r="M79" s="24">
        <f t="shared" ca="1" si="55"/>
        <v>565.95023463481448</v>
      </c>
      <c r="N79" s="24">
        <f t="shared" ca="1" si="55"/>
        <v>569.27845850162078</v>
      </c>
      <c r="O79" s="24">
        <f t="shared" ca="1" si="55"/>
        <v>570.84541351679491</v>
      </c>
      <c r="P79" s="24">
        <f t="shared" ca="1" si="55"/>
        <v>571.72203708263783</v>
      </c>
      <c r="Q79" s="24">
        <f t="shared" ca="1" si="55"/>
        <v>573.30700339561076</v>
      </c>
      <c r="R79" s="24">
        <f t="shared" ca="1" si="55"/>
        <v>574.75804567496323</v>
      </c>
      <c r="S79" s="24">
        <f t="shared" ca="1" si="55"/>
        <v>577.98119721510932</v>
      </c>
      <c r="T79" s="24">
        <f t="shared" ca="1" si="55"/>
        <v>582.04330508542625</v>
      </c>
      <c r="U79" s="24">
        <f t="shared" ca="1" si="55"/>
        <v>585.80376449282642</v>
      </c>
      <c r="V79" s="24">
        <f t="shared" ca="1" si="55"/>
        <v>588.78384919362441</v>
      </c>
      <c r="W79" s="24">
        <f t="shared" ca="1" si="55"/>
        <v>591.52389646418351</v>
      </c>
      <c r="X79" s="24">
        <f t="shared" ca="1" si="55"/>
        <v>594.42827284402017</v>
      </c>
      <c r="Y79" s="24">
        <f t="shared" ca="1" si="55"/>
        <v>597.003295395122</v>
      </c>
      <c r="Z79" s="24">
        <f t="shared" ca="1" si="55"/>
        <v>599.77253856942946</v>
      </c>
      <c r="AA79" s="24">
        <f t="shared" ca="1" si="55"/>
        <v>602.85512958383129</v>
      </c>
      <c r="AB79" s="24">
        <f t="shared" ca="1" si="55"/>
        <v>605.98187607043792</v>
      </c>
      <c r="AC79" s="24">
        <f t="shared" ca="1" si="55"/>
        <v>608.45164236515973</v>
      </c>
      <c r="AD79" s="24">
        <f t="shared" ca="1" si="55"/>
        <v>610.89169055334651</v>
      </c>
      <c r="AE79" s="24">
        <f t="shared" ca="1" si="55"/>
        <v>614.03213821361396</v>
      </c>
      <c r="AF79" s="24">
        <f t="shared" si="55"/>
        <v>618.1994059289467</v>
      </c>
      <c r="AG79" s="25">
        <f t="shared" ca="1" si="46"/>
        <v>1.2088009379154621</v>
      </c>
    </row>
    <row r="80" spans="1:33">
      <c r="A80" s="2"/>
      <c r="B80" s="2" t="s">
        <v>49</v>
      </c>
      <c r="C80" s="24">
        <f t="shared" ref="C80:AF80" ca="1" si="56">C31*C$70</f>
        <v>1181.3327885405961</v>
      </c>
      <c r="D80" s="24">
        <f t="shared" ca="1" si="56"/>
        <v>1370.311882010873</v>
      </c>
      <c r="E80" s="24">
        <f t="shared" ca="1" si="56"/>
        <v>1414.7744064617036</v>
      </c>
      <c r="F80" s="24">
        <f t="shared" ca="1" si="56"/>
        <v>1390.9627112858871</v>
      </c>
      <c r="G80" s="24">
        <f t="shared" ca="1" si="56"/>
        <v>1385.7044667740231</v>
      </c>
      <c r="H80" s="24">
        <f t="shared" ca="1" si="56"/>
        <v>1415.6723487472309</v>
      </c>
      <c r="I80" s="24">
        <f t="shared" ca="1" si="56"/>
        <v>1399.1496320757528</v>
      </c>
      <c r="J80" s="24">
        <f t="shared" ca="1" si="56"/>
        <v>1382.9531801517805</v>
      </c>
      <c r="K80" s="24">
        <f t="shared" ca="1" si="56"/>
        <v>1369.6855668002797</v>
      </c>
      <c r="L80" s="24">
        <f t="shared" ca="1" si="56"/>
        <v>1354.1524851259339</v>
      </c>
      <c r="M80" s="24">
        <f t="shared" ca="1" si="56"/>
        <v>1334.4602769490293</v>
      </c>
      <c r="N80" s="24">
        <f t="shared" ca="1" si="56"/>
        <v>1328.6225154213662</v>
      </c>
      <c r="O80" s="24">
        <f t="shared" ca="1" si="56"/>
        <v>1317.8355204277505</v>
      </c>
      <c r="P80" s="24">
        <f t="shared" ca="1" si="56"/>
        <v>1314.6629917031992</v>
      </c>
      <c r="Q80" s="24">
        <f t="shared" ca="1" si="56"/>
        <v>1308.6923862237736</v>
      </c>
      <c r="R80" s="24">
        <f t="shared" ca="1" si="56"/>
        <v>1306.2505397329051</v>
      </c>
      <c r="S80" s="24">
        <f t="shared" ca="1" si="56"/>
        <v>1308.5160565677409</v>
      </c>
      <c r="T80" s="24">
        <f t="shared" ca="1" si="56"/>
        <v>1308.926326759321</v>
      </c>
      <c r="U80" s="24">
        <f t="shared" ca="1" si="56"/>
        <v>1297.0384174122114</v>
      </c>
      <c r="V80" s="24">
        <f t="shared" ca="1" si="56"/>
        <v>1281.2777742430746</v>
      </c>
      <c r="W80" s="24">
        <f t="shared" ca="1" si="56"/>
        <v>1276.3060648934409</v>
      </c>
      <c r="X80" s="24">
        <f t="shared" ca="1" si="56"/>
        <v>1273.7257154631482</v>
      </c>
      <c r="Y80" s="24">
        <f t="shared" ca="1" si="56"/>
        <v>1266.056650407301</v>
      </c>
      <c r="Z80" s="24">
        <f t="shared" ca="1" si="56"/>
        <v>1253.1733100526258</v>
      </c>
      <c r="AA80" s="24">
        <f t="shared" ca="1" si="56"/>
        <v>1236.3391048357853</v>
      </c>
      <c r="AB80" s="24">
        <f t="shared" ca="1" si="56"/>
        <v>1223.6947445696076</v>
      </c>
      <c r="AC80" s="24">
        <f t="shared" ca="1" si="56"/>
        <v>1207.0585129924114</v>
      </c>
      <c r="AD80" s="24">
        <f t="shared" ca="1" si="56"/>
        <v>1179.4750542534937</v>
      </c>
      <c r="AE80" s="24">
        <f t="shared" ca="1" si="56"/>
        <v>1164.9059188156705</v>
      </c>
      <c r="AF80" s="24">
        <f t="shared" si="56"/>
        <v>1163.8499137322563</v>
      </c>
      <c r="AG80" s="25">
        <f t="shared" ca="1" si="46"/>
        <v>0.98520071991742653</v>
      </c>
    </row>
    <row r="81" spans="1:33">
      <c r="A81" s="2" t="s">
        <v>50</v>
      </c>
      <c r="B81" s="2" t="s">
        <v>46</v>
      </c>
      <c r="C81" s="24">
        <f t="shared" ref="C81:AF81" ca="1" si="57">C32*C$70</f>
        <v>7840.8490598663921</v>
      </c>
      <c r="D81" s="24">
        <f t="shared" ca="1" si="57"/>
        <v>8120.0473269709719</v>
      </c>
      <c r="E81" s="24">
        <f t="shared" ca="1" si="57"/>
        <v>8317.392583481691</v>
      </c>
      <c r="F81" s="24">
        <f t="shared" ca="1" si="57"/>
        <v>8333.0523147949825</v>
      </c>
      <c r="G81" s="24">
        <f t="shared" ca="1" si="57"/>
        <v>8337.7921058221982</v>
      </c>
      <c r="H81" s="24">
        <f t="shared" ca="1" si="57"/>
        <v>8322.4057179670217</v>
      </c>
      <c r="I81" s="24">
        <f t="shared" ca="1" si="57"/>
        <v>8292.4218960665148</v>
      </c>
      <c r="J81" s="24">
        <f t="shared" ca="1" si="57"/>
        <v>8256.612034047741</v>
      </c>
      <c r="K81" s="24">
        <f t="shared" ca="1" si="57"/>
        <v>8228.1432790204562</v>
      </c>
      <c r="L81" s="24">
        <f t="shared" ca="1" si="57"/>
        <v>8208.7457668241914</v>
      </c>
      <c r="M81" s="24">
        <f t="shared" ca="1" si="57"/>
        <v>8143.7448783555465</v>
      </c>
      <c r="N81" s="24">
        <f t="shared" ca="1" si="57"/>
        <v>8075.1759421702518</v>
      </c>
      <c r="O81" s="24">
        <f t="shared" ca="1" si="57"/>
        <v>8021.4740746798243</v>
      </c>
      <c r="P81" s="24">
        <f t="shared" ca="1" si="57"/>
        <v>7971.1066290975923</v>
      </c>
      <c r="Q81" s="24">
        <f t="shared" ca="1" si="57"/>
        <v>7919.8885654637079</v>
      </c>
      <c r="R81" s="24">
        <f t="shared" ca="1" si="57"/>
        <v>7874.5921527015062</v>
      </c>
      <c r="S81" s="24">
        <f t="shared" ca="1" si="57"/>
        <v>7839.0763233359985</v>
      </c>
      <c r="T81" s="24">
        <f t="shared" ca="1" si="57"/>
        <v>7807.6375616955111</v>
      </c>
      <c r="U81" s="24">
        <f t="shared" ca="1" si="57"/>
        <v>7783.9390862967384</v>
      </c>
      <c r="V81" s="24">
        <f t="shared" ca="1" si="57"/>
        <v>7765.3143972257203</v>
      </c>
      <c r="W81" s="24">
        <f t="shared" ca="1" si="57"/>
        <v>7749.912092547992</v>
      </c>
      <c r="X81" s="24">
        <f t="shared" ca="1" si="57"/>
        <v>7738.8026512382785</v>
      </c>
      <c r="Y81" s="24">
        <f t="shared" ca="1" si="57"/>
        <v>7730.138612448588</v>
      </c>
      <c r="Z81" s="24">
        <f t="shared" ca="1" si="57"/>
        <v>7726.3206758576243</v>
      </c>
      <c r="AA81" s="24">
        <f t="shared" ca="1" si="57"/>
        <v>7727.8772862171518</v>
      </c>
      <c r="AB81" s="24">
        <f t="shared" ca="1" si="57"/>
        <v>7736.962629917406</v>
      </c>
      <c r="AC81" s="24">
        <f t="shared" ca="1" si="57"/>
        <v>7745.5084116864564</v>
      </c>
      <c r="AD81" s="24">
        <f t="shared" ca="1" si="57"/>
        <v>7754.6631151736783</v>
      </c>
      <c r="AE81" s="24">
        <f t="shared" ca="1" si="57"/>
        <v>7770.5936943557699</v>
      </c>
      <c r="AF81" s="24">
        <f t="shared" si="57"/>
        <v>7794.3903419339649</v>
      </c>
      <c r="AG81" s="25">
        <f t="shared" ca="1" si="46"/>
        <v>0.99407478481249856</v>
      </c>
    </row>
    <row r="82" spans="1:33">
      <c r="A82" s="2"/>
      <c r="B82" s="2" t="s">
        <v>51</v>
      </c>
      <c r="C82" s="24">
        <f t="shared" ref="C82:AF82" ca="1" si="58">C33*C$70</f>
        <v>3457.8587713257966</v>
      </c>
      <c r="D82" s="24">
        <f t="shared" ca="1" si="58"/>
        <v>3503.0870275998132</v>
      </c>
      <c r="E82" s="24">
        <f t="shared" ca="1" si="58"/>
        <v>3561.944032829861</v>
      </c>
      <c r="F82" s="24">
        <f t="shared" ca="1" si="58"/>
        <v>3550.3326641676581</v>
      </c>
      <c r="G82" s="24">
        <f t="shared" ca="1" si="58"/>
        <v>3553.8885130758772</v>
      </c>
      <c r="H82" s="24">
        <f t="shared" ca="1" si="58"/>
        <v>3548.5298184651542</v>
      </c>
      <c r="I82" s="24">
        <f t="shared" ca="1" si="58"/>
        <v>3529.7615661078312</v>
      </c>
      <c r="J82" s="24">
        <f t="shared" ca="1" si="58"/>
        <v>3509.9334714779061</v>
      </c>
      <c r="K82" s="24">
        <f t="shared" ca="1" si="58"/>
        <v>3487.6240364720347</v>
      </c>
      <c r="L82" s="24">
        <f t="shared" ca="1" si="58"/>
        <v>3465.0288172094388</v>
      </c>
      <c r="M82" s="24">
        <f t="shared" ca="1" si="58"/>
        <v>3414.8486274697912</v>
      </c>
      <c r="N82" s="24">
        <f t="shared" ca="1" si="58"/>
        <v>3372.0271732026645</v>
      </c>
      <c r="O82" s="24">
        <f t="shared" ca="1" si="58"/>
        <v>3333.6451406706092</v>
      </c>
      <c r="P82" s="24">
        <f t="shared" ca="1" si="58"/>
        <v>3293.363102477344</v>
      </c>
      <c r="Q82" s="24">
        <f t="shared" ca="1" si="58"/>
        <v>3257.7498835104871</v>
      </c>
      <c r="R82" s="24">
        <f t="shared" ca="1" si="58"/>
        <v>3223.2969366103216</v>
      </c>
      <c r="S82" s="24">
        <f t="shared" ca="1" si="58"/>
        <v>3197.0241494934621</v>
      </c>
      <c r="T82" s="24">
        <f t="shared" ca="1" si="58"/>
        <v>3173.9063925606006</v>
      </c>
      <c r="U82" s="24">
        <f t="shared" ca="1" si="58"/>
        <v>3149.0961513750631</v>
      </c>
      <c r="V82" s="24">
        <f t="shared" ca="1" si="58"/>
        <v>3128.2877213738643</v>
      </c>
      <c r="W82" s="24">
        <f t="shared" ca="1" si="58"/>
        <v>3108.9733166449723</v>
      </c>
      <c r="X82" s="24">
        <f t="shared" ca="1" si="58"/>
        <v>3096.4306401749036</v>
      </c>
      <c r="Y82" s="24">
        <f t="shared" ca="1" si="58"/>
        <v>3084.8908073848111</v>
      </c>
      <c r="Z82" s="24">
        <f t="shared" ca="1" si="58"/>
        <v>3071.1390268131236</v>
      </c>
      <c r="AA82" s="24">
        <f t="shared" ca="1" si="58"/>
        <v>3056.8364524799313</v>
      </c>
      <c r="AB82" s="24">
        <f t="shared" ca="1" si="58"/>
        <v>3045.5954783707607</v>
      </c>
      <c r="AC82" s="24">
        <f t="shared" ca="1" si="58"/>
        <v>3029.4749248873327</v>
      </c>
      <c r="AD82" s="24">
        <f t="shared" ca="1" si="58"/>
        <v>3008.8853184502314</v>
      </c>
      <c r="AE82" s="24">
        <f t="shared" ca="1" si="58"/>
        <v>2994.322984004416</v>
      </c>
      <c r="AF82" s="24">
        <f t="shared" si="58"/>
        <v>2986.0751215590935</v>
      </c>
      <c r="AG82" s="25">
        <f t="shared" ca="1" si="46"/>
        <v>0.86356190898282004</v>
      </c>
    </row>
    <row r="83" spans="1:33">
      <c r="A83" s="2"/>
      <c r="B83" s="2" t="s">
        <v>14</v>
      </c>
      <c r="C83" s="24">
        <f t="shared" ref="C83:AF83" ca="1" si="59">C34*C$70</f>
        <v>597.69805190133604</v>
      </c>
      <c r="D83" s="24">
        <f t="shared" ca="1" si="59"/>
        <v>594.02831495613498</v>
      </c>
      <c r="E83" s="24">
        <f t="shared" ca="1" si="59"/>
        <v>606.53674501835076</v>
      </c>
      <c r="F83" s="24">
        <f t="shared" ca="1" si="59"/>
        <v>611.90116317824061</v>
      </c>
      <c r="G83" s="24">
        <f t="shared" ca="1" si="59"/>
        <v>611.01155622537703</v>
      </c>
      <c r="H83" s="24">
        <f t="shared" ca="1" si="59"/>
        <v>612.37074808106956</v>
      </c>
      <c r="I83" s="24">
        <f t="shared" ca="1" si="59"/>
        <v>615.32987242212823</v>
      </c>
      <c r="J83" s="24">
        <f t="shared" ca="1" si="59"/>
        <v>633.82682703796308</v>
      </c>
      <c r="K83" s="24">
        <f t="shared" ca="1" si="59"/>
        <v>659.19837877649161</v>
      </c>
      <c r="L83" s="24">
        <f t="shared" ca="1" si="59"/>
        <v>678.50080934924301</v>
      </c>
      <c r="M83" s="24">
        <f t="shared" ca="1" si="59"/>
        <v>699.43844345878949</v>
      </c>
      <c r="N83" s="24">
        <f t="shared" ca="1" si="59"/>
        <v>720.12656116693643</v>
      </c>
      <c r="O83" s="24">
        <f t="shared" ca="1" si="59"/>
        <v>741.45361501062655</v>
      </c>
      <c r="P83" s="24">
        <f t="shared" ca="1" si="59"/>
        <v>766.12497032511692</v>
      </c>
      <c r="Q83" s="24">
        <f t="shared" ca="1" si="59"/>
        <v>777.17086286913127</v>
      </c>
      <c r="R83" s="24">
        <f t="shared" ca="1" si="59"/>
        <v>792.1711591197942</v>
      </c>
      <c r="S83" s="24">
        <f t="shared" ca="1" si="59"/>
        <v>810.38318083932779</v>
      </c>
      <c r="T83" s="24">
        <f t="shared" ca="1" si="59"/>
        <v>825.81733626636992</v>
      </c>
      <c r="U83" s="24">
        <f t="shared" ca="1" si="59"/>
        <v>843.42493084055172</v>
      </c>
      <c r="V83" s="24">
        <f t="shared" ca="1" si="59"/>
        <v>863.62154155043368</v>
      </c>
      <c r="W83" s="24">
        <f t="shared" ca="1" si="59"/>
        <v>880.68441645605083</v>
      </c>
      <c r="X83" s="24">
        <f t="shared" ca="1" si="59"/>
        <v>892.51010040774668</v>
      </c>
      <c r="Y83" s="24">
        <f t="shared" ca="1" si="59"/>
        <v>908.4527230529178</v>
      </c>
      <c r="Z83" s="24">
        <f t="shared" ca="1" si="59"/>
        <v>923.06605969572001</v>
      </c>
      <c r="AA83" s="24">
        <f t="shared" ca="1" si="59"/>
        <v>935.96435994616229</v>
      </c>
      <c r="AB83" s="24">
        <f t="shared" ca="1" si="59"/>
        <v>950.64320960313637</v>
      </c>
      <c r="AC83" s="24">
        <f t="shared" ca="1" si="59"/>
        <v>968.2183841024372</v>
      </c>
      <c r="AD83" s="24">
        <f t="shared" ca="1" si="59"/>
        <v>986.13583968015314</v>
      </c>
      <c r="AE83" s="24">
        <f t="shared" ca="1" si="59"/>
        <v>997.98846651034376</v>
      </c>
      <c r="AF83" s="24">
        <f t="shared" si="59"/>
        <v>1013.34668849502</v>
      </c>
      <c r="AG83" s="25">
        <f t="shared" ca="1" si="46"/>
        <v>1.6954157459129486</v>
      </c>
    </row>
    <row r="84" spans="1:33">
      <c r="B84" s="2" t="s">
        <v>44</v>
      </c>
      <c r="C84" s="24">
        <f t="shared" ref="C84:AF84" ca="1" si="60">C35*C$70</f>
        <v>1074481.5218016445</v>
      </c>
      <c r="D84" s="24">
        <f t="shared" ca="1" si="60"/>
        <v>1478913.3527223987</v>
      </c>
      <c r="E84" s="24">
        <f t="shared" ca="1" si="60"/>
        <v>1950293.251015987</v>
      </c>
      <c r="F84" s="24">
        <f t="shared" ca="1" si="60"/>
        <v>2474832.6585146636</v>
      </c>
      <c r="G84" s="24">
        <f t="shared" ca="1" si="60"/>
        <v>3038284.8855492407</v>
      </c>
      <c r="H84" s="24">
        <f t="shared" ca="1" si="60"/>
        <v>3639857.5985898655</v>
      </c>
      <c r="I84" s="24">
        <f t="shared" ca="1" si="60"/>
        <v>4256918.8424600288</v>
      </c>
      <c r="J84" s="24">
        <f t="shared" ca="1" si="60"/>
        <v>4875826.0791066261</v>
      </c>
      <c r="K84" s="24">
        <f t="shared" ca="1" si="60"/>
        <v>5505273.0941710826</v>
      </c>
      <c r="L84" s="24">
        <f t="shared" ca="1" si="60"/>
        <v>6148985.9361379994</v>
      </c>
      <c r="M84" s="24">
        <f t="shared" ca="1" si="60"/>
        <v>6759720.4339895817</v>
      </c>
      <c r="N84" s="24">
        <f t="shared" ca="1" si="60"/>
        <v>7359072.403551314</v>
      </c>
      <c r="O84" s="24">
        <f t="shared" ca="1" si="60"/>
        <v>7960100.6327072578</v>
      </c>
      <c r="P84" s="24">
        <f t="shared" ca="1" si="60"/>
        <v>8562509.0689278264</v>
      </c>
      <c r="Q84" s="24">
        <f t="shared" ca="1" si="60"/>
        <v>9157833.746577844</v>
      </c>
      <c r="R84" s="24">
        <f t="shared" ca="1" si="60"/>
        <v>9752447.1292906944</v>
      </c>
      <c r="S84" s="24">
        <f t="shared" ca="1" si="60"/>
        <v>10349079.30216535</v>
      </c>
      <c r="T84" s="24">
        <f t="shared" ca="1" si="60"/>
        <v>10945621.889921576</v>
      </c>
      <c r="U84" s="24">
        <f t="shared" ca="1" si="60"/>
        <v>11541178.73948163</v>
      </c>
      <c r="V84" s="24">
        <f t="shared" ca="1" si="60"/>
        <v>12136665.336122198</v>
      </c>
      <c r="W84" s="24">
        <f t="shared" ca="1" si="60"/>
        <v>12722445.42904794</v>
      </c>
      <c r="X84" s="24">
        <f t="shared" ca="1" si="60"/>
        <v>13302159.842747871</v>
      </c>
      <c r="Y84" s="24">
        <f t="shared" ca="1" si="60"/>
        <v>13885461.190155666</v>
      </c>
      <c r="Z84" s="24">
        <f t="shared" ca="1" si="60"/>
        <v>14476563.238387082</v>
      </c>
      <c r="AA84" s="24">
        <f t="shared" ca="1" si="60"/>
        <v>15053509.720479606</v>
      </c>
      <c r="AB84" s="24">
        <f t="shared" ca="1" si="60"/>
        <v>15631659.542259688</v>
      </c>
      <c r="AC84" s="24">
        <f t="shared" ca="1" si="60"/>
        <v>16201106.888553731</v>
      </c>
      <c r="AD84" s="24">
        <f t="shared" ca="1" si="60"/>
        <v>16763074.759923169</v>
      </c>
      <c r="AE84" s="24">
        <f t="shared" ca="1" si="60"/>
        <v>17329883.151253134</v>
      </c>
      <c r="AF84" s="24">
        <f t="shared" si="60"/>
        <v>17903329.832268056</v>
      </c>
      <c r="AG84" s="25">
        <f ca="1">AF84/D84</f>
        <v>12.105732766095745</v>
      </c>
    </row>
    <row r="85" spans="1:33">
      <c r="A85" s="21"/>
    </row>
    <row r="86" spans="1:33">
      <c r="B86" s="23" t="s">
        <v>58</v>
      </c>
      <c r="C86" s="23">
        <v>2021</v>
      </c>
      <c r="D86" s="23">
        <v>2022</v>
      </c>
      <c r="E86" s="23">
        <v>2023</v>
      </c>
      <c r="F86" s="23">
        <v>2024</v>
      </c>
      <c r="G86" s="23">
        <v>2025</v>
      </c>
      <c r="H86" s="23">
        <v>2026</v>
      </c>
      <c r="I86" s="23">
        <v>2027</v>
      </c>
      <c r="J86" s="23">
        <v>2028</v>
      </c>
      <c r="K86" s="23">
        <v>2029</v>
      </c>
      <c r="L86" s="23">
        <v>2030</v>
      </c>
      <c r="M86" s="23">
        <v>2031</v>
      </c>
      <c r="N86" s="23">
        <v>2032</v>
      </c>
      <c r="O86" s="23">
        <v>2033</v>
      </c>
      <c r="P86" s="23">
        <v>2034</v>
      </c>
      <c r="Q86" s="23">
        <v>2035</v>
      </c>
      <c r="R86" s="23">
        <v>2036</v>
      </c>
      <c r="S86" s="23">
        <v>2037</v>
      </c>
      <c r="T86" s="23">
        <v>2038</v>
      </c>
      <c r="U86" s="23">
        <v>2039</v>
      </c>
      <c r="V86" s="23">
        <v>2040</v>
      </c>
      <c r="W86" s="23">
        <v>2041</v>
      </c>
      <c r="X86" s="23">
        <v>2042</v>
      </c>
      <c r="Y86" s="23">
        <v>2043</v>
      </c>
      <c r="Z86" s="23">
        <v>2044</v>
      </c>
      <c r="AA86" s="23">
        <v>2045</v>
      </c>
      <c r="AB86" s="23">
        <v>2046</v>
      </c>
      <c r="AC86" s="23">
        <v>2047</v>
      </c>
      <c r="AD86" s="23">
        <v>2048</v>
      </c>
      <c r="AE86" s="23">
        <v>2049</v>
      </c>
      <c r="AF86" s="23">
        <v>2050</v>
      </c>
    </row>
    <row r="87" spans="1:33">
      <c r="A87" s="2" t="s">
        <v>43</v>
      </c>
      <c r="B87" s="2" t="s">
        <v>44</v>
      </c>
      <c r="C87" s="9"/>
      <c r="D87" s="27">
        <f t="shared" ref="D87:AF87" ca="1" si="61">(D71-C71)/D71</f>
        <v>-3.4731541904777272E-2</v>
      </c>
      <c r="E87" s="27">
        <f t="shared" ca="1" si="61"/>
        <v>4.5072888808061283E-2</v>
      </c>
      <c r="F87" s="27">
        <f t="shared" ca="1" si="61"/>
        <v>1.293446763690226E-2</v>
      </c>
      <c r="G87" s="27">
        <f t="shared" ca="1" si="61"/>
        <v>1.1185170777855531E-2</v>
      </c>
      <c r="H87" s="27">
        <f t="shared" ca="1" si="61"/>
        <v>8.881594988654656E-3</v>
      </c>
      <c r="I87" s="27">
        <f t="shared" ca="1" si="61"/>
        <v>7.8694905123554565E-3</v>
      </c>
      <c r="J87" s="27">
        <f t="shared" ca="1" si="61"/>
        <v>7.8851583010048527E-3</v>
      </c>
      <c r="K87" s="27">
        <f t="shared" ca="1" si="61"/>
        <v>8.2565820403719247E-3</v>
      </c>
      <c r="L87" s="27">
        <f t="shared" ca="1" si="61"/>
        <v>6.253235720522359E-3</v>
      </c>
      <c r="M87" s="27">
        <f t="shared" ca="1" si="61"/>
        <v>1.4998161620736032E-4</v>
      </c>
      <c r="N87" s="27">
        <f t="shared" ca="1" si="61"/>
        <v>1.0779626140053741E-3</v>
      </c>
      <c r="O87" s="27">
        <f t="shared" ca="1" si="61"/>
        <v>2.2505088604548636E-3</v>
      </c>
      <c r="P87" s="27">
        <f t="shared" ca="1" si="61"/>
        <v>3.2687577286265707E-3</v>
      </c>
      <c r="Q87" s="27">
        <f t="shared" ca="1" si="61"/>
        <v>4.0191468743330733E-3</v>
      </c>
      <c r="R87" s="27">
        <f t="shared" ca="1" si="61"/>
        <v>4.2096881704349861E-3</v>
      </c>
      <c r="S87" s="27">
        <f t="shared" ca="1" si="61"/>
        <v>4.9246032670145065E-3</v>
      </c>
      <c r="T87" s="27">
        <f t="shared" ca="1" si="61"/>
        <v>4.8698865821641029E-3</v>
      </c>
      <c r="U87" s="27">
        <f t="shared" ca="1" si="61"/>
        <v>4.7139067147208566E-3</v>
      </c>
      <c r="V87" s="27">
        <f t="shared" ca="1" si="61"/>
        <v>3.9028504866217596E-3</v>
      </c>
      <c r="W87" s="27">
        <f t="shared" ca="1" si="61"/>
        <v>3.5367354725565755E-3</v>
      </c>
      <c r="X87" s="27">
        <f t="shared" ca="1" si="61"/>
        <v>4.3340480522448578E-3</v>
      </c>
      <c r="Y87" s="27">
        <f t="shared" ca="1" si="61"/>
        <v>4.89100508557524E-3</v>
      </c>
      <c r="Z87" s="27">
        <f t="shared" ca="1" si="61"/>
        <v>5.5667810895877424E-3</v>
      </c>
      <c r="AA87" s="27">
        <f t="shared" ca="1" si="61"/>
        <v>5.85946814569551E-3</v>
      </c>
      <c r="AB87" s="27">
        <f t="shared" ca="1" si="61"/>
        <v>6.1326014093705241E-3</v>
      </c>
      <c r="AC87" s="27">
        <f t="shared" ca="1" si="61"/>
        <v>6.1552371321771035E-3</v>
      </c>
      <c r="AD87" s="27">
        <f t="shared" ca="1" si="61"/>
        <v>6.7664223539148863E-3</v>
      </c>
      <c r="AE87" s="27">
        <f t="shared" ca="1" si="61"/>
        <v>7.38749180415857E-3</v>
      </c>
      <c r="AF87" s="27">
        <f t="shared" ca="1" si="61"/>
        <v>7.9640573718534023E-3</v>
      </c>
    </row>
    <row r="88" spans="1:33">
      <c r="A88" s="2"/>
      <c r="B88" s="2" t="s">
        <v>14</v>
      </c>
      <c r="C88" s="9"/>
      <c r="D88" s="27">
        <f t="shared" ref="D88:AF88" ca="1" si="62">(D72-C72)/D72</f>
        <v>-3.1028464176425255E-2</v>
      </c>
      <c r="E88" s="27">
        <f t="shared" ca="1" si="62"/>
        <v>9.5128508251179911E-2</v>
      </c>
      <c r="F88" s="27">
        <f t="shared" ca="1" si="62"/>
        <v>9.9493778479408969E-3</v>
      </c>
      <c r="G88" s="27">
        <f t="shared" ca="1" si="62"/>
        <v>7.5895957104610157E-3</v>
      </c>
      <c r="H88" s="27">
        <f t="shared" ca="1" si="62"/>
        <v>2.4775077420579289E-3</v>
      </c>
      <c r="I88" s="27">
        <f t="shared" ca="1" si="62"/>
        <v>2.2558816465419464E-4</v>
      </c>
      <c r="J88" s="27">
        <f t="shared" ca="1" si="62"/>
        <v>-1.2035797979900265E-3</v>
      </c>
      <c r="K88" s="27">
        <f t="shared" ca="1" si="62"/>
        <v>-2.4392364212621823E-3</v>
      </c>
      <c r="L88" s="27">
        <f t="shared" ca="1" si="62"/>
        <v>-1.5752840009534263E-3</v>
      </c>
      <c r="M88" s="27">
        <f t="shared" ca="1" si="62"/>
        <v>-7.3764481949268922E-3</v>
      </c>
      <c r="N88" s="27">
        <f t="shared" ca="1" si="62"/>
        <v>-6.4977792655054488E-3</v>
      </c>
      <c r="O88" s="27">
        <f t="shared" ca="1" si="62"/>
        <v>-6.6696852785833455E-3</v>
      </c>
      <c r="P88" s="27">
        <f t="shared" ca="1" si="62"/>
        <v>-5.9825981774067911E-3</v>
      </c>
      <c r="Q88" s="27">
        <f t="shared" ca="1" si="62"/>
        <v>-5.0561304487573479E-3</v>
      </c>
      <c r="R88" s="27">
        <f t="shared" ca="1" si="62"/>
        <v>-4.8361310262953084E-3</v>
      </c>
      <c r="S88" s="27">
        <f t="shared" ca="1" si="62"/>
        <v>-5.1041741933325006E-3</v>
      </c>
      <c r="T88" s="27">
        <f t="shared" ca="1" si="62"/>
        <v>-5.1367038480470062E-3</v>
      </c>
      <c r="U88" s="27">
        <f t="shared" ca="1" si="62"/>
        <v>-4.9775360722040009E-3</v>
      </c>
      <c r="V88" s="27">
        <f t="shared" ca="1" si="62"/>
        <v>-4.6939465276282727E-3</v>
      </c>
      <c r="W88" s="27">
        <f t="shared" ca="1" si="62"/>
        <v>-4.57086580477535E-3</v>
      </c>
      <c r="X88" s="27">
        <f t="shared" ca="1" si="62"/>
        <v>-4.4950102952439966E-3</v>
      </c>
      <c r="Y88" s="27">
        <f t="shared" ca="1" si="62"/>
        <v>-4.4896512351451263E-3</v>
      </c>
      <c r="Z88" s="27">
        <f t="shared" ca="1" si="62"/>
        <v>-3.9872837770391235E-3</v>
      </c>
      <c r="AA88" s="27">
        <f t="shared" ca="1" si="62"/>
        <v>-4.2200822508638375E-3</v>
      </c>
      <c r="AB88" s="27">
        <f t="shared" ca="1" si="62"/>
        <v>-4.3645275350121136E-3</v>
      </c>
      <c r="AC88" s="27">
        <f t="shared" ca="1" si="62"/>
        <v>-4.5297582527349545E-3</v>
      </c>
      <c r="AD88" s="27">
        <f t="shared" ca="1" si="62"/>
        <v>-4.6243875351758487E-3</v>
      </c>
      <c r="AE88" s="27">
        <f t="shared" ca="1" si="62"/>
        <v>-4.8085851638409571E-3</v>
      </c>
      <c r="AF88" s="27">
        <f t="shared" ca="1" si="62"/>
        <v>-4.9373463481124534E-3</v>
      </c>
    </row>
    <row r="89" spans="1:33">
      <c r="A89" s="2" t="s">
        <v>45</v>
      </c>
      <c r="B89" s="2" t="s">
        <v>44</v>
      </c>
      <c r="C89" s="9"/>
      <c r="D89" s="27">
        <f t="shared" ref="D89:AF89" ca="1" si="63">(D73-C73)/D73</f>
        <v>1.0851956432892326E-2</v>
      </c>
      <c r="E89" s="27">
        <f t="shared" ca="1" si="63"/>
        <v>1.1213701878918129E-2</v>
      </c>
      <c r="F89" s="27">
        <f t="shared" ca="1" si="63"/>
        <v>5.5446235012553639E-3</v>
      </c>
      <c r="G89" s="27">
        <f t="shared" ca="1" si="63"/>
        <v>5.8144135463801426E-3</v>
      </c>
      <c r="H89" s="27">
        <f t="shared" ca="1" si="63"/>
        <v>2.5145027569775553E-3</v>
      </c>
      <c r="I89" s="27">
        <f t="shared" ca="1" si="63"/>
        <v>5.6157400338410152E-3</v>
      </c>
      <c r="J89" s="27">
        <f t="shared" ca="1" si="63"/>
        <v>5.1234273836167502E-3</v>
      </c>
      <c r="K89" s="27">
        <f t="shared" ca="1" si="63"/>
        <v>5.435092822984754E-3</v>
      </c>
      <c r="L89" s="27">
        <f t="shared" ca="1" si="63"/>
        <v>2.4709864847644192E-3</v>
      </c>
      <c r="M89" s="27">
        <f t="shared" ca="1" si="63"/>
        <v>-1.8271321971613506E-3</v>
      </c>
      <c r="N89" s="27">
        <f t="shared" ca="1" si="63"/>
        <v>-6.2493640303369321E-4</v>
      </c>
      <c r="O89" s="27">
        <f t="shared" ca="1" si="63"/>
        <v>9.1124616684211087E-4</v>
      </c>
      <c r="P89" s="27">
        <f t="shared" ca="1" si="63"/>
        <v>2.1402841757308831E-3</v>
      </c>
      <c r="Q89" s="27">
        <f t="shared" ca="1" si="63"/>
        <v>2.7700000490274755E-3</v>
      </c>
      <c r="R89" s="27">
        <f t="shared" ca="1" si="63"/>
        <v>2.8403637750202449E-3</v>
      </c>
      <c r="S89" s="27">
        <f t="shared" ca="1" si="63"/>
        <v>3.1696323563325459E-3</v>
      </c>
      <c r="T89" s="27">
        <f t="shared" ca="1" si="63"/>
        <v>3.4622641067737913E-3</v>
      </c>
      <c r="U89" s="27">
        <f t="shared" ca="1" si="63"/>
        <v>2.8791713592043328E-3</v>
      </c>
      <c r="V89" s="27">
        <f t="shared" ca="1" si="63"/>
        <v>2.0885308958900521E-3</v>
      </c>
      <c r="W89" s="27">
        <f t="shared" ca="1" si="63"/>
        <v>3.3146162988209314E-3</v>
      </c>
      <c r="X89" s="27">
        <f t="shared" ca="1" si="63"/>
        <v>4.3638084558141324E-3</v>
      </c>
      <c r="Y89" s="27">
        <f t="shared" ca="1" si="63"/>
        <v>4.967607931847245E-3</v>
      </c>
      <c r="Z89" s="27">
        <f t="shared" ca="1" si="63"/>
        <v>5.0440666853534396E-3</v>
      </c>
      <c r="AA89" s="27">
        <f t="shared" ca="1" si="63"/>
        <v>5.5602070943075003E-3</v>
      </c>
      <c r="AB89" s="27">
        <f t="shared" ca="1" si="63"/>
        <v>4.6081500110068318E-3</v>
      </c>
      <c r="AC89" s="27">
        <f t="shared" ca="1" si="63"/>
        <v>5.4453575303324208E-3</v>
      </c>
      <c r="AD89" s="27">
        <f t="shared" ca="1" si="63"/>
        <v>5.5154269554607265E-3</v>
      </c>
      <c r="AE89" s="27">
        <f t="shared" ca="1" si="63"/>
        <v>6.5786899978859757E-3</v>
      </c>
      <c r="AF89" s="27">
        <f t="shared" ca="1" si="63"/>
        <v>6.8740183269597448E-3</v>
      </c>
    </row>
    <row r="90" spans="1:33">
      <c r="A90" s="2"/>
      <c r="B90" s="2" t="s">
        <v>14</v>
      </c>
      <c r="C90" s="9"/>
      <c r="D90" s="27">
        <f t="shared" ref="D90:AF90" ca="1" si="64">(D74-C74)/D74</f>
        <v>3.7922063393711583E-2</v>
      </c>
      <c r="E90" s="27">
        <f t="shared" ca="1" si="64"/>
        <v>-9.140480688611034E-3</v>
      </c>
      <c r="F90" s="27">
        <f t="shared" ca="1" si="64"/>
        <v>8.2196111887436179E-3</v>
      </c>
      <c r="G90" s="27">
        <f t="shared" ca="1" si="64"/>
        <v>1.0431255916572279E-2</v>
      </c>
      <c r="H90" s="27">
        <f t="shared" ca="1" si="64"/>
        <v>6.3426224961439662E-3</v>
      </c>
      <c r="I90" s="27">
        <f t="shared" ca="1" si="64"/>
        <v>9.8200971595893E-3</v>
      </c>
      <c r="J90" s="27">
        <f t="shared" ca="1" si="64"/>
        <v>5.5774216383595518E-3</v>
      </c>
      <c r="K90" s="27">
        <f t="shared" ca="1" si="64"/>
        <v>2.0985801409601442E-3</v>
      </c>
      <c r="L90" s="27">
        <f t="shared" ca="1" si="64"/>
        <v>2.7526423966650645E-3</v>
      </c>
      <c r="M90" s="27">
        <f t="shared" ca="1" si="64"/>
        <v>-1.8400789069737376E-3</v>
      </c>
      <c r="N90" s="27">
        <f t="shared" ca="1" si="64"/>
        <v>-4.9012468314557178E-4</v>
      </c>
      <c r="O90" s="27">
        <f t="shared" ca="1" si="64"/>
        <v>-1.2098843770809594E-3</v>
      </c>
      <c r="P90" s="27">
        <f t="shared" ca="1" si="64"/>
        <v>-2.6620154305220648E-4</v>
      </c>
      <c r="Q90" s="27">
        <f t="shared" ca="1" si="64"/>
        <v>9.4010291680485204E-4</v>
      </c>
      <c r="R90" s="27">
        <f t="shared" ca="1" si="64"/>
        <v>7.8189987475092628E-4</v>
      </c>
      <c r="S90" s="27">
        <f t="shared" ca="1" si="64"/>
        <v>-2.6004019958153409E-4</v>
      </c>
      <c r="T90" s="27">
        <f t="shared" ca="1" si="64"/>
        <v>-8.1025178647085145E-4</v>
      </c>
      <c r="U90" s="27">
        <f t="shared" ca="1" si="64"/>
        <v>-9.7734084910457066E-4</v>
      </c>
      <c r="V90" s="27">
        <f t="shared" ca="1" si="64"/>
        <v>-9.9333601461662003E-4</v>
      </c>
      <c r="W90" s="27">
        <f t="shared" ca="1" si="64"/>
        <v>-7.7153403468521167E-4</v>
      </c>
      <c r="X90" s="27">
        <f t="shared" ca="1" si="64"/>
        <v>-6.1460757722947882E-4</v>
      </c>
      <c r="Y90" s="27">
        <f t="shared" ca="1" si="64"/>
        <v>-6.5773512930258069E-4</v>
      </c>
      <c r="Z90" s="27">
        <f t="shared" ca="1" si="64"/>
        <v>-4.1832090702822554E-5</v>
      </c>
      <c r="AA90" s="27">
        <f t="shared" ca="1" si="64"/>
        <v>-2.5265766857231686E-4</v>
      </c>
      <c r="AB90" s="27">
        <f t="shared" ca="1" si="64"/>
        <v>-5.281739135239254E-4</v>
      </c>
      <c r="AC90" s="27">
        <f t="shared" ca="1" si="64"/>
        <v>-8.0919425203292562E-4</v>
      </c>
      <c r="AD90" s="27">
        <f t="shared" ca="1" si="64"/>
        <v>-9.175801007892902E-4</v>
      </c>
      <c r="AE90" s="27">
        <f t="shared" ca="1" si="64"/>
        <v>-1.1992455408664539E-3</v>
      </c>
      <c r="AF90" s="27">
        <f t="shared" ca="1" si="64"/>
        <v>-1.4003653827423868E-3</v>
      </c>
    </row>
    <row r="91" spans="1:33">
      <c r="A91" s="2"/>
      <c r="B91" s="2" t="s">
        <v>46</v>
      </c>
      <c r="C91" s="9"/>
      <c r="D91" s="27">
        <f t="shared" ref="D91:AF91" ca="1" si="65">(D75-C75)/D75</f>
        <v>8.909078627734917E-3</v>
      </c>
      <c r="E91" s="27">
        <f t="shared" ca="1" si="65"/>
        <v>1.6420898112598906E-2</v>
      </c>
      <c r="F91" s="27">
        <f t="shared" ca="1" si="65"/>
        <v>6.6398124872351361E-3</v>
      </c>
      <c r="G91" s="27">
        <f t="shared" ca="1" si="65"/>
        <v>9.0516678614235777E-3</v>
      </c>
      <c r="H91" s="27">
        <f t="shared" ca="1" si="65"/>
        <v>7.1604021119059174E-3</v>
      </c>
      <c r="I91" s="27">
        <f t="shared" ca="1" si="65"/>
        <v>8.9343215394867767E-3</v>
      </c>
      <c r="J91" s="27">
        <f t="shared" ca="1" si="65"/>
        <v>6.4710953800569673E-3</v>
      </c>
      <c r="K91" s="27">
        <f t="shared" ca="1" si="65"/>
        <v>6.3221855638779696E-3</v>
      </c>
      <c r="L91" s="27">
        <f t="shared" ca="1" si="65"/>
        <v>4.6980095546201453E-3</v>
      </c>
      <c r="M91" s="27">
        <f t="shared" ca="1" si="65"/>
        <v>-1.5332640722764068E-4</v>
      </c>
      <c r="N91" s="27">
        <f t="shared" ca="1" si="65"/>
        <v>-1.815530190733603E-5</v>
      </c>
      <c r="O91" s="27">
        <f t="shared" ca="1" si="65"/>
        <v>8.8921388552906503E-4</v>
      </c>
      <c r="P91" s="27">
        <f t="shared" ca="1" si="65"/>
        <v>3.7897336637424892E-4</v>
      </c>
      <c r="Q91" s="27">
        <f t="shared" ca="1" si="65"/>
        <v>1.0259735417526682E-3</v>
      </c>
      <c r="R91" s="27">
        <f t="shared" ca="1" si="65"/>
        <v>3.8844836196629364E-4</v>
      </c>
      <c r="S91" s="27">
        <f t="shared" ca="1" si="65"/>
        <v>4.574431983381175E-4</v>
      </c>
      <c r="T91" s="27">
        <f t="shared" ca="1" si="65"/>
        <v>-1.1397176350614936E-4</v>
      </c>
      <c r="U91" s="27">
        <f t="shared" ca="1" si="65"/>
        <v>1.425701570100197E-3</v>
      </c>
      <c r="V91" s="27">
        <f t="shared" ca="1" si="65"/>
        <v>8.7926903047892281E-5</v>
      </c>
      <c r="W91" s="27">
        <f t="shared" ca="1" si="65"/>
        <v>7.9461265760330654E-4</v>
      </c>
      <c r="X91" s="27">
        <f t="shared" ca="1" si="65"/>
        <v>1.2435096237038443E-3</v>
      </c>
      <c r="Y91" s="27">
        <f t="shared" ca="1" si="65"/>
        <v>1.6553553339447886E-4</v>
      </c>
      <c r="Z91" s="27">
        <f t="shared" ca="1" si="65"/>
        <v>1.0683360683179181E-4</v>
      </c>
      <c r="AA91" s="27">
        <f t="shared" ca="1" si="65"/>
        <v>9.3675236816335332E-4</v>
      </c>
      <c r="AB91" s="27">
        <f t="shared" ca="1" si="65"/>
        <v>2.4276211140623639E-4</v>
      </c>
      <c r="AC91" s="27">
        <f t="shared" ca="1" si="65"/>
        <v>1.2599029203650609E-3</v>
      </c>
      <c r="AD91" s="27">
        <f t="shared" ca="1" si="65"/>
        <v>1.6401832050264523E-3</v>
      </c>
      <c r="AE91" s="27">
        <f t="shared" ca="1" si="65"/>
        <v>1.4515811516193366E-3</v>
      </c>
      <c r="AF91" s="27">
        <f t="shared" ca="1" si="65"/>
        <v>1.4525260459966626E-3</v>
      </c>
    </row>
    <row r="92" spans="1:33">
      <c r="A92" s="2"/>
      <c r="B92" s="2" t="s">
        <v>47</v>
      </c>
      <c r="C92" s="28"/>
      <c r="D92" s="27">
        <f t="shared" ref="D92:AF92" ca="1" si="66">(D76-C76)/D76</f>
        <v>3.6761215252224567E-2</v>
      </c>
      <c r="E92" s="27">
        <f t="shared" ca="1" si="66"/>
        <v>5.7001388859957272E-2</v>
      </c>
      <c r="F92" s="27">
        <f t="shared" ca="1" si="66"/>
        <v>9.1957641785121095E-4</v>
      </c>
      <c r="G92" s="27">
        <f t="shared" ca="1" si="66"/>
        <v>2.1953824477228389E-3</v>
      </c>
      <c r="H92" s="27">
        <f t="shared" ca="1" si="66"/>
        <v>2.2863699534494144E-3</v>
      </c>
      <c r="I92" s="27">
        <f t="shared" ca="1" si="66"/>
        <v>1.3458840167865995E-2</v>
      </c>
      <c r="J92" s="27">
        <f t="shared" ca="1" si="66"/>
        <v>7.2181020821449095E-3</v>
      </c>
      <c r="K92" s="27">
        <f t="shared" ca="1" si="66"/>
        <v>3.4570917531003991E-3</v>
      </c>
      <c r="L92" s="27">
        <f t="shared" ca="1" si="66"/>
        <v>3.050744080172653E-3</v>
      </c>
      <c r="M92" s="27">
        <f t="shared" ca="1" si="66"/>
        <v>-4.0744142572833788E-3</v>
      </c>
      <c r="N92" s="27">
        <f t="shared" ca="1" si="66"/>
        <v>-4.0795667617400735E-3</v>
      </c>
      <c r="O92" s="27">
        <f t="shared" ca="1" si="66"/>
        <v>-3.8253713432655737E-3</v>
      </c>
      <c r="P92" s="27">
        <f t="shared" ca="1" si="66"/>
        <v>-3.0489218996883711E-3</v>
      </c>
      <c r="Q92" s="27">
        <f t="shared" ca="1" si="66"/>
        <v>-3.3090590244437509E-3</v>
      </c>
      <c r="R92" s="27">
        <f t="shared" ca="1" si="66"/>
        <v>-3.8984055526493418E-3</v>
      </c>
      <c r="S92" s="27">
        <f t="shared" ca="1" si="66"/>
        <v>-5.0856473794134759E-3</v>
      </c>
      <c r="T92" s="27">
        <f t="shared" ca="1" si="66"/>
        <v>-4.8353881481313244E-3</v>
      </c>
      <c r="U92" s="27">
        <f t="shared" ca="1" si="66"/>
        <v>-3.9859140873972554E-3</v>
      </c>
      <c r="V92" s="27">
        <f t="shared" ca="1" si="66"/>
        <v>-4.5897041743362043E-3</v>
      </c>
      <c r="W92" s="27">
        <f t="shared" ca="1" si="66"/>
        <v>-4.3328382707838098E-3</v>
      </c>
      <c r="X92" s="27">
        <f t="shared" ca="1" si="66"/>
        <v>-3.4710487812173521E-3</v>
      </c>
      <c r="Y92" s="27">
        <f t="shared" ca="1" si="66"/>
        <v>-4.4807190856239621E-3</v>
      </c>
      <c r="Z92" s="27">
        <f t="shared" ca="1" si="66"/>
        <v>-5.5033095949548229E-3</v>
      </c>
      <c r="AA92" s="27">
        <f t="shared" ca="1" si="66"/>
        <v>-5.1147078223015997E-3</v>
      </c>
      <c r="AB92" s="27">
        <f t="shared" ca="1" si="66"/>
        <v>-4.7891502585470395E-3</v>
      </c>
      <c r="AC92" s="27">
        <f t="shared" ca="1" si="66"/>
        <v>-3.9128851379760634E-3</v>
      </c>
      <c r="AD92" s="27">
        <f t="shared" ca="1" si="66"/>
        <v>-2.8918807076748301E-3</v>
      </c>
      <c r="AE92" s="27">
        <f t="shared" ca="1" si="66"/>
        <v>-2.3440346578493948E-3</v>
      </c>
      <c r="AF92" s="27">
        <f t="shared" ca="1" si="66"/>
        <v>-1.9307281019835688E-3</v>
      </c>
    </row>
    <row r="93" spans="1:33">
      <c r="A93" s="2" t="s">
        <v>48</v>
      </c>
      <c r="B93" s="2" t="s">
        <v>44</v>
      </c>
      <c r="C93" s="9"/>
      <c r="D93" s="27">
        <f t="shared" ref="D93:AF93" ca="1" si="67">(D77-C77)/D77</f>
        <v>3.1270575025818842E-2</v>
      </c>
      <c r="E93" s="27">
        <f t="shared" ca="1" si="67"/>
        <v>3.2964268154008151E-2</v>
      </c>
      <c r="F93" s="27">
        <f t="shared" ca="1" si="67"/>
        <v>7.079207462578352E-3</v>
      </c>
      <c r="G93" s="27">
        <f t="shared" ca="1" si="67"/>
        <v>1.4537284008243034E-2</v>
      </c>
      <c r="H93" s="27">
        <f t="shared" ca="1" si="67"/>
        <v>1.4764464403525279E-2</v>
      </c>
      <c r="I93" s="27">
        <f t="shared" ca="1" si="67"/>
        <v>8.3563996638369217E-3</v>
      </c>
      <c r="J93" s="27">
        <f t="shared" ca="1" si="67"/>
        <v>7.7962544001129513E-3</v>
      </c>
      <c r="K93" s="27">
        <f t="shared" ca="1" si="67"/>
        <v>1.1307119869914868E-2</v>
      </c>
      <c r="L93" s="27">
        <f t="shared" ca="1" si="67"/>
        <v>8.0667146195796385E-3</v>
      </c>
      <c r="M93" s="27">
        <f t="shared" ca="1" si="67"/>
        <v>3.1912709071034856E-3</v>
      </c>
      <c r="N93" s="27">
        <f t="shared" ca="1" si="67"/>
        <v>3.9465526083384151E-3</v>
      </c>
      <c r="O93" s="27">
        <f t="shared" ca="1" si="67"/>
        <v>2.9518599113020749E-3</v>
      </c>
      <c r="P93" s="27">
        <f t="shared" ca="1" si="67"/>
        <v>2.3982180036693718E-3</v>
      </c>
      <c r="Q93" s="27">
        <f t="shared" ca="1" si="67"/>
        <v>3.1471798135881742E-3</v>
      </c>
      <c r="R93" s="27">
        <f t="shared" ca="1" si="67"/>
        <v>3.1460326360366253E-3</v>
      </c>
      <c r="S93" s="27">
        <f t="shared" ca="1" si="67"/>
        <v>5.3547767300288727E-3</v>
      </c>
      <c r="T93" s="27">
        <f t="shared" ca="1" si="67"/>
        <v>4.4025707663332579E-3</v>
      </c>
      <c r="U93" s="27">
        <f t="shared" ca="1" si="67"/>
        <v>3.4482580346233845E-3</v>
      </c>
      <c r="V93" s="27">
        <f t="shared" ca="1" si="67"/>
        <v>2.4040603824882455E-3</v>
      </c>
      <c r="W93" s="27">
        <f t="shared" ca="1" si="67"/>
        <v>4.6130406387251324E-3</v>
      </c>
      <c r="X93" s="27">
        <f t="shared" ca="1" si="67"/>
        <v>6.0616448948725551E-3</v>
      </c>
      <c r="Y93" s="27">
        <f t="shared" ca="1" si="67"/>
        <v>5.1551866515280736E-3</v>
      </c>
      <c r="Z93" s="27">
        <f t="shared" ca="1" si="67"/>
        <v>3.7330348700855259E-3</v>
      </c>
      <c r="AA93" s="27">
        <f t="shared" ca="1" si="67"/>
        <v>4.2857393127748453E-3</v>
      </c>
      <c r="AB93" s="27">
        <f t="shared" ca="1" si="67"/>
        <v>4.7059298267303337E-3</v>
      </c>
      <c r="AC93" s="27">
        <f t="shared" ca="1" si="67"/>
        <v>2.2880125886810087E-3</v>
      </c>
      <c r="AD93" s="27">
        <f t="shared" ca="1" si="67"/>
        <v>9.0379306272493252E-4</v>
      </c>
      <c r="AE93" s="27">
        <f t="shared" ca="1" si="67"/>
        <v>3.0235836134727984E-3</v>
      </c>
      <c r="AF93" s="27">
        <f t="shared" ca="1" si="67"/>
        <v>6.6697899838064172E-3</v>
      </c>
    </row>
    <row r="94" spans="1:33">
      <c r="A94" s="2"/>
      <c r="B94" s="2" t="s">
        <v>14</v>
      </c>
      <c r="C94" s="9"/>
      <c r="D94" s="27">
        <f t="shared" ref="D94:AF94" ca="1" si="68">(D78-C78)/D78</f>
        <v>2.6930752042911794E-2</v>
      </c>
      <c r="E94" s="27">
        <f t="shared" ca="1" si="68"/>
        <v>4.1038718146350683E-2</v>
      </c>
      <c r="F94" s="27">
        <f t="shared" ca="1" si="68"/>
        <v>6.1865781427826901E-3</v>
      </c>
      <c r="G94" s="27">
        <f t="shared" ca="1" si="68"/>
        <v>9.440396134289146E-3</v>
      </c>
      <c r="H94" s="27">
        <f t="shared" ca="1" si="68"/>
        <v>1.4799052725800598E-2</v>
      </c>
      <c r="I94" s="27">
        <f t="shared" ca="1" si="68"/>
        <v>2.4107984634813284E-3</v>
      </c>
      <c r="J94" s="27">
        <f t="shared" ca="1" si="68"/>
        <v>3.011922529188131E-3</v>
      </c>
      <c r="K94" s="27">
        <f t="shared" ca="1" si="68"/>
        <v>6.8187284601651469E-3</v>
      </c>
      <c r="L94" s="27">
        <f t="shared" ca="1" si="68"/>
        <v>7.3808137002374678E-3</v>
      </c>
      <c r="M94" s="27">
        <f t="shared" ca="1" si="68"/>
        <v>-3.0872508260277681E-4</v>
      </c>
      <c r="N94" s="27">
        <f t="shared" ca="1" si="68"/>
        <v>3.2283346259519546E-3</v>
      </c>
      <c r="O94" s="27">
        <f t="shared" ca="1" si="68"/>
        <v>-4.2872679384288567E-4</v>
      </c>
      <c r="P94" s="27">
        <f t="shared" ca="1" si="68"/>
        <v>9.9368991846760445E-5</v>
      </c>
      <c r="Q94" s="27">
        <f t="shared" ca="1" si="68"/>
        <v>3.4064879087157868E-3</v>
      </c>
      <c r="R94" s="27">
        <f t="shared" ca="1" si="68"/>
        <v>1.7845152038870687E-3</v>
      </c>
      <c r="S94" s="27">
        <f t="shared" ca="1" si="68"/>
        <v>3.1984476186266621E-3</v>
      </c>
      <c r="T94" s="27">
        <f t="shared" ca="1" si="68"/>
        <v>4.5634410930194469E-3</v>
      </c>
      <c r="U94" s="27">
        <f t="shared" ca="1" si="68"/>
        <v>3.0225028783744915E-3</v>
      </c>
      <c r="V94" s="27">
        <f t="shared" ca="1" si="68"/>
        <v>4.213656958525349E-3</v>
      </c>
      <c r="W94" s="27">
        <f t="shared" ca="1" si="68"/>
        <v>6.6611916605564597E-3</v>
      </c>
      <c r="X94" s="27">
        <f t="shared" ca="1" si="68"/>
        <v>8.9873009273121491E-3</v>
      </c>
      <c r="Y94" s="27">
        <f t="shared" ca="1" si="68"/>
        <v>1.0264423794863711E-2</v>
      </c>
      <c r="Z94" s="27">
        <f t="shared" ca="1" si="68"/>
        <v>5.0515575247542565E-3</v>
      </c>
      <c r="AA94" s="27">
        <f t="shared" ca="1" si="68"/>
        <v>1.0885937345196975E-2</v>
      </c>
      <c r="AB94" s="27">
        <f t="shared" ca="1" si="68"/>
        <v>7.1467581006823648E-3</v>
      </c>
      <c r="AC94" s="27">
        <f t="shared" ca="1" si="68"/>
        <v>3.6551727793709748E-3</v>
      </c>
      <c r="AD94" s="27">
        <f t="shared" ca="1" si="68"/>
        <v>5.5635886453362579E-3</v>
      </c>
      <c r="AE94" s="27">
        <f t="shared" ca="1" si="68"/>
        <v>5.8720056527795904E-3</v>
      </c>
      <c r="AF94" s="27">
        <f t="shared" ca="1" si="68"/>
        <v>1.0579890643576732E-2</v>
      </c>
    </row>
    <row r="95" spans="1:33">
      <c r="A95" s="2"/>
      <c r="B95" s="2" t="s">
        <v>47</v>
      </c>
      <c r="C95" s="9"/>
      <c r="D95" s="27">
        <f t="shared" ref="D95:AF95" ca="1" si="69">(D79-C79)/D79</f>
        <v>3.2321184256901128E-2</v>
      </c>
      <c r="E95" s="27">
        <f t="shared" ca="1" si="69"/>
        <v>9.3588061837263092E-3</v>
      </c>
      <c r="F95" s="27">
        <f t="shared" ca="1" si="69"/>
        <v>6.2675207573662586E-3</v>
      </c>
      <c r="G95" s="27">
        <f t="shared" ca="1" si="69"/>
        <v>1.2222948208666977E-2</v>
      </c>
      <c r="H95" s="27">
        <f t="shared" ca="1" si="69"/>
        <v>1.1416200301836241E-2</v>
      </c>
      <c r="I95" s="27">
        <f t="shared" ca="1" si="69"/>
        <v>5.4479077078561974E-3</v>
      </c>
      <c r="J95" s="27">
        <f t="shared" ca="1" si="69"/>
        <v>5.1610253043960453E-3</v>
      </c>
      <c r="K95" s="27">
        <f t="shared" ca="1" si="69"/>
        <v>7.0867264802725437E-3</v>
      </c>
      <c r="L95" s="27">
        <f t="shared" ca="1" si="69"/>
        <v>9.0524612968117622E-3</v>
      </c>
      <c r="M95" s="27">
        <f t="shared" ca="1" si="69"/>
        <v>2.153539238228711E-3</v>
      </c>
      <c r="N95" s="27">
        <f t="shared" ca="1" si="69"/>
        <v>5.8463899645287941E-3</v>
      </c>
      <c r="O95" s="27">
        <f t="shared" ca="1" si="69"/>
        <v>2.7449725934042719E-3</v>
      </c>
      <c r="P95" s="27">
        <f t="shared" ca="1" si="69"/>
        <v>1.5333037892261807E-3</v>
      </c>
      <c r="Q95" s="27">
        <f t="shared" ca="1" si="69"/>
        <v>2.7646030897676495E-3</v>
      </c>
      <c r="R95" s="27">
        <f t="shared" ca="1" si="69"/>
        <v>2.5246141228844258E-3</v>
      </c>
      <c r="S95" s="27">
        <f t="shared" ca="1" si="69"/>
        <v>5.5765681577120913E-3</v>
      </c>
      <c r="T95" s="27">
        <f t="shared" ca="1" si="69"/>
        <v>6.9790474949638706E-3</v>
      </c>
      <c r="U95" s="27">
        <f t="shared" ca="1" si="69"/>
        <v>6.4193158790228494E-3</v>
      </c>
      <c r="V95" s="27">
        <f t="shared" ca="1" si="69"/>
        <v>5.0614239926577423E-3</v>
      </c>
      <c r="W95" s="27">
        <f t="shared" ca="1" si="69"/>
        <v>4.6321835633989662E-3</v>
      </c>
      <c r="X95" s="27">
        <f t="shared" ca="1" si="69"/>
        <v>4.8859997286817818E-3</v>
      </c>
      <c r="Y95" s="27">
        <f t="shared" ca="1" si="69"/>
        <v>4.313246796062601E-3</v>
      </c>
      <c r="Z95" s="27">
        <f t="shared" ca="1" si="69"/>
        <v>4.6171556652337383E-3</v>
      </c>
      <c r="AA95" s="27">
        <f t="shared" ca="1" si="69"/>
        <v>5.1133197067259458E-3</v>
      </c>
      <c r="AB95" s="27">
        <f t="shared" ca="1" si="69"/>
        <v>5.1598019843141132E-3</v>
      </c>
      <c r="AC95" s="27">
        <f t="shared" ca="1" si="69"/>
        <v>4.0591003832636348E-3</v>
      </c>
      <c r="AD95" s="27">
        <f t="shared" ca="1" si="69"/>
        <v>3.9942402653677942E-3</v>
      </c>
      <c r="AE95" s="27">
        <f t="shared" ca="1" si="69"/>
        <v>5.1144678996833436E-3</v>
      </c>
      <c r="AF95" s="27">
        <f t="shared" ca="1" si="69"/>
        <v>6.7409765770815215E-3</v>
      </c>
    </row>
    <row r="96" spans="1:33">
      <c r="A96" s="2"/>
      <c r="B96" s="2" t="s">
        <v>49</v>
      </c>
      <c r="C96" s="9"/>
      <c r="D96" s="27">
        <f t="shared" ref="D96:AF96" ca="1" si="70">(D80-C80)/D80</f>
        <v>0.13790954887799581</v>
      </c>
      <c r="E96" s="27">
        <f t="shared" ca="1" si="70"/>
        <v>3.1427289218519089E-2</v>
      </c>
      <c r="F96" s="27">
        <f t="shared" ca="1" si="70"/>
        <v>-1.7118859465185553E-2</v>
      </c>
      <c r="G96" s="27">
        <f t="shared" ca="1" si="70"/>
        <v>-3.7946363297113122E-3</v>
      </c>
      <c r="H96" s="27">
        <f t="shared" ca="1" si="70"/>
        <v>2.1168656716172522E-2</v>
      </c>
      <c r="I96" s="27">
        <f t="shared" ca="1" si="70"/>
        <v>-1.1809113401949199E-2</v>
      </c>
      <c r="J96" s="27">
        <f t="shared" ca="1" si="70"/>
        <v>-1.1711496930210402E-2</v>
      </c>
      <c r="K96" s="27">
        <f t="shared" ca="1" si="70"/>
        <v>-9.6866125139182593E-3</v>
      </c>
      <c r="L96" s="27">
        <f t="shared" ca="1" si="70"/>
        <v>-1.147070351748551E-2</v>
      </c>
      <c r="M96" s="27">
        <f t="shared" ca="1" si="70"/>
        <v>-1.4756683669840532E-2</v>
      </c>
      <c r="N96" s="27">
        <f t="shared" ca="1" si="70"/>
        <v>-4.3938450988930556E-3</v>
      </c>
      <c r="O96" s="27">
        <f t="shared" ca="1" si="70"/>
        <v>-8.1853879535091247E-3</v>
      </c>
      <c r="P96" s="27">
        <f t="shared" ca="1" si="70"/>
        <v>-2.4131878242355824E-3</v>
      </c>
      <c r="Q96" s="27">
        <f t="shared" ca="1" si="70"/>
        <v>-4.5622680641198765E-3</v>
      </c>
      <c r="R96" s="27">
        <f t="shared" ca="1" si="70"/>
        <v>-1.869355392854308E-3</v>
      </c>
      <c r="S96" s="27">
        <f t="shared" ca="1" si="70"/>
        <v>1.7313634200089951E-3</v>
      </c>
      <c r="T96" s="27">
        <f t="shared" ca="1" si="70"/>
        <v>3.1344024731773732E-4</v>
      </c>
      <c r="U96" s="27">
        <f t="shared" ca="1" si="70"/>
        <v>-9.1654257788507006E-3</v>
      </c>
      <c r="V96" s="27">
        <f t="shared" ca="1" si="70"/>
        <v>-1.2300723142136361E-2</v>
      </c>
      <c r="W96" s="27">
        <f t="shared" ca="1" si="70"/>
        <v>-3.8953895827870044E-3</v>
      </c>
      <c r="X96" s="27">
        <f t="shared" ca="1" si="70"/>
        <v>-2.0258281661169422E-3</v>
      </c>
      <c r="Y96" s="27">
        <f t="shared" ca="1" si="70"/>
        <v>-6.0574422585118219E-3</v>
      </c>
      <c r="Z96" s="27">
        <f t="shared" ca="1" si="70"/>
        <v>-1.0280573525887063E-2</v>
      </c>
      <c r="AA96" s="27">
        <f t="shared" ca="1" si="70"/>
        <v>-1.3616171446001822E-2</v>
      </c>
      <c r="AB96" s="27">
        <f t="shared" ca="1" si="70"/>
        <v>-1.0332936643137211E-2</v>
      </c>
      <c r="AC96" s="27">
        <f t="shared" ca="1" si="70"/>
        <v>-1.3782456606808094E-2</v>
      </c>
      <c r="AD96" s="27">
        <f t="shared" ca="1" si="70"/>
        <v>-2.3386216299738215E-2</v>
      </c>
      <c r="AE96" s="27">
        <f t="shared" ca="1" si="70"/>
        <v>-1.2506705651075468E-2</v>
      </c>
      <c r="AF96" s="27">
        <f t="shared" ca="1" si="70"/>
        <v>-9.0733785426662351E-4</v>
      </c>
    </row>
    <row r="97" spans="1:33">
      <c r="A97" s="2" t="s">
        <v>50</v>
      </c>
      <c r="B97" s="2" t="s">
        <v>46</v>
      </c>
      <c r="C97" s="9"/>
      <c r="D97" s="27">
        <f t="shared" ref="D97:AF97" ca="1" si="71">(D81-C81)/D81</f>
        <v>3.4383822638227084E-2</v>
      </c>
      <c r="E97" s="27">
        <f t="shared" ca="1" si="71"/>
        <v>2.3726817572930967E-2</v>
      </c>
      <c r="F97" s="27">
        <f t="shared" ca="1" si="71"/>
        <v>1.8792311294492136E-3</v>
      </c>
      <c r="G97" s="27">
        <f t="shared" ca="1" si="71"/>
        <v>5.6847076145085675E-4</v>
      </c>
      <c r="H97" s="27">
        <f t="shared" ca="1" si="71"/>
        <v>-1.8487908877068131E-3</v>
      </c>
      <c r="I97" s="27">
        <f t="shared" ca="1" si="71"/>
        <v>-3.6158099860704889E-3</v>
      </c>
      <c r="J97" s="27">
        <f t="shared" ca="1" si="71"/>
        <v>-4.3371133185264059E-3</v>
      </c>
      <c r="K97" s="27">
        <f t="shared" ca="1" si="71"/>
        <v>-3.4599245615802962E-3</v>
      </c>
      <c r="L97" s="27">
        <f t="shared" ca="1" si="71"/>
        <v>-2.3630299618560852E-3</v>
      </c>
      <c r="M97" s="27">
        <f t="shared" ca="1" si="71"/>
        <v>-7.9816950849484914E-3</v>
      </c>
      <c r="N97" s="27">
        <f t="shared" ca="1" si="71"/>
        <v>-8.4913241118640386E-3</v>
      </c>
      <c r="O97" s="27">
        <f t="shared" ca="1" si="71"/>
        <v>-6.6947629563424106E-3</v>
      </c>
      <c r="P97" s="27">
        <f t="shared" ca="1" si="71"/>
        <v>-6.3187519532572206E-3</v>
      </c>
      <c r="Q97" s="27">
        <f t="shared" ca="1" si="71"/>
        <v>-6.4670182175581665E-3</v>
      </c>
      <c r="R97" s="27">
        <f t="shared" ca="1" si="71"/>
        <v>-5.7522233385334199E-3</v>
      </c>
      <c r="S97" s="27">
        <f t="shared" ca="1" si="71"/>
        <v>-4.5306140545897308E-3</v>
      </c>
      <c r="T97" s="27">
        <f t="shared" ca="1" si="71"/>
        <v>-4.0266676561328714E-3</v>
      </c>
      <c r="U97" s="27">
        <f t="shared" ca="1" si="71"/>
        <v>-3.0445350530161142E-3</v>
      </c>
      <c r="V97" s="27">
        <f t="shared" ca="1" si="71"/>
        <v>-2.3984462338926126E-3</v>
      </c>
      <c r="W97" s="27">
        <f t="shared" ca="1" si="71"/>
        <v>-1.9874166950278826E-3</v>
      </c>
      <c r="X97" s="27">
        <f t="shared" ca="1" si="71"/>
        <v>-1.4355504088136766E-3</v>
      </c>
      <c r="Y97" s="27">
        <f t="shared" ca="1" si="71"/>
        <v>-1.1208128630110145E-3</v>
      </c>
      <c r="Z97" s="27">
        <f t="shared" ca="1" si="71"/>
        <v>-4.9414679394469503E-4</v>
      </c>
      <c r="AA97" s="27">
        <f t="shared" ca="1" si="71"/>
        <v>2.0142793446056533E-4</v>
      </c>
      <c r="AB97" s="27">
        <f t="shared" ca="1" si="71"/>
        <v>1.1742778316031828E-3</v>
      </c>
      <c r="AC97" s="27">
        <f t="shared" ca="1" si="71"/>
        <v>1.103320959042072E-3</v>
      </c>
      <c r="AD97" s="27">
        <f t="shared" ca="1" si="71"/>
        <v>1.1805417400155994E-3</v>
      </c>
      <c r="AE97" s="27">
        <f t="shared" ca="1" si="71"/>
        <v>2.0501109450186419E-3</v>
      </c>
      <c r="AF97" s="27">
        <f t="shared" ca="1" si="71"/>
        <v>3.053047965813131E-3</v>
      </c>
    </row>
    <row r="98" spans="1:33">
      <c r="B98" s="2" t="s">
        <v>51</v>
      </c>
      <c r="C98" s="9"/>
      <c r="D98" s="27">
        <f t="shared" ref="D98:AF98" ca="1" si="72">(D82-C82)/D82</f>
        <v>1.291097135688498E-2</v>
      </c>
      <c r="E98" s="27">
        <f t="shared" ca="1" si="72"/>
        <v>1.6523843352835531E-2</v>
      </c>
      <c r="F98" s="27">
        <f t="shared" ca="1" si="72"/>
        <v>-3.2705016009887413E-3</v>
      </c>
      <c r="G98" s="27">
        <f t="shared" ca="1" si="72"/>
        <v>1.0005516197641019E-3</v>
      </c>
      <c r="H98" s="27">
        <f t="shared" ca="1" si="72"/>
        <v>-1.5101168328467856E-3</v>
      </c>
      <c r="I98" s="27">
        <f t="shared" ca="1" si="72"/>
        <v>-5.3171445169363828E-3</v>
      </c>
      <c r="J98" s="27">
        <f t="shared" ca="1" si="72"/>
        <v>-5.6491368828071251E-3</v>
      </c>
      <c r="K98" s="27">
        <f t="shared" ca="1" si="72"/>
        <v>-6.3967431043510216E-3</v>
      </c>
      <c r="L98" s="27">
        <f t="shared" ca="1" si="72"/>
        <v>-6.5209325678258021E-3</v>
      </c>
      <c r="M98" s="27">
        <f t="shared" ca="1" si="72"/>
        <v>-1.4694703986580014E-2</v>
      </c>
      <c r="N98" s="27">
        <f t="shared" ca="1" si="72"/>
        <v>-1.2699024078876556E-2</v>
      </c>
      <c r="O98" s="27">
        <f t="shared" ca="1" si="72"/>
        <v>-1.1513532758418975E-2</v>
      </c>
      <c r="P98" s="27">
        <f t="shared" ca="1" si="72"/>
        <v>-1.2231277554231448E-2</v>
      </c>
      <c r="Q98" s="27">
        <f t="shared" ca="1" si="72"/>
        <v>-1.0931845672719615E-2</v>
      </c>
      <c r="R98" s="27">
        <f t="shared" ca="1" si="72"/>
        <v>-1.0688728831913574E-2</v>
      </c>
      <c r="S98" s="27">
        <f t="shared" ca="1" si="72"/>
        <v>-8.2178882261562409E-3</v>
      </c>
      <c r="T98" s="27">
        <f t="shared" ca="1" si="72"/>
        <v>-7.2836921047979971E-3</v>
      </c>
      <c r="U98" s="27">
        <f t="shared" ca="1" si="72"/>
        <v>-7.8785276768078474E-3</v>
      </c>
      <c r="V98" s="27">
        <f t="shared" ca="1" si="72"/>
        <v>-6.651699541262217E-3</v>
      </c>
      <c r="W98" s="27">
        <f t="shared" ca="1" si="72"/>
        <v>-6.2124704079914708E-3</v>
      </c>
      <c r="X98" s="27">
        <f t="shared" ca="1" si="72"/>
        <v>-4.0506886565882345E-3</v>
      </c>
      <c r="Y98" s="27">
        <f t="shared" ca="1" si="72"/>
        <v>-3.7407589151835568E-3</v>
      </c>
      <c r="Z98" s="27">
        <f t="shared" ca="1" si="72"/>
        <v>-4.4777460257009356E-3</v>
      </c>
      <c r="AA98" s="27">
        <f t="shared" ca="1" si="72"/>
        <v>-4.6788811097790307E-3</v>
      </c>
      <c r="AB98" s="27">
        <f t="shared" ca="1" si="72"/>
        <v>-3.6908953237558381E-3</v>
      </c>
      <c r="AC98" s="27">
        <f t="shared" ca="1" si="72"/>
        <v>-5.3212368093878649E-3</v>
      </c>
      <c r="AD98" s="27">
        <f t="shared" ca="1" si="72"/>
        <v>-6.842934927046772E-3</v>
      </c>
      <c r="AE98" s="27">
        <f t="shared" ca="1" si="72"/>
        <v>-4.86331452004575E-3</v>
      </c>
      <c r="AF98" s="27">
        <f t="shared" ca="1" si="72"/>
        <v>-2.7621081552081117E-3</v>
      </c>
    </row>
    <row r="99" spans="1:33">
      <c r="A99" s="2"/>
      <c r="B99" s="2" t="s">
        <v>14</v>
      </c>
      <c r="C99" s="9"/>
      <c r="D99" s="27">
        <f t="shared" ref="D99:AF99" ca="1" si="73">(D83-C83)/D83</f>
        <v>-6.1777138442837554E-3</v>
      </c>
      <c r="E99" s="27">
        <f t="shared" ca="1" si="73"/>
        <v>2.062270779957006E-2</v>
      </c>
      <c r="F99" s="27">
        <f t="shared" ca="1" si="73"/>
        <v>8.7668049722717245E-3</v>
      </c>
      <c r="G99" s="27">
        <f t="shared" ca="1" si="73"/>
        <v>-1.4559576554644313E-3</v>
      </c>
      <c r="H99" s="27">
        <f t="shared" ca="1" si="73"/>
        <v>2.2195571227915526E-3</v>
      </c>
      <c r="I99" s="27">
        <f t="shared" ca="1" si="73"/>
        <v>4.809004850375039E-3</v>
      </c>
      <c r="J99" s="27">
        <f t="shared" ca="1" si="73"/>
        <v>2.9182978420582026E-2</v>
      </c>
      <c r="K99" s="27">
        <f t="shared" ca="1" si="73"/>
        <v>3.8488492319443381E-2</v>
      </c>
      <c r="L99" s="27">
        <f t="shared" ca="1" si="73"/>
        <v>2.8448647822932681E-2</v>
      </c>
      <c r="M99" s="27">
        <f t="shared" ca="1" si="73"/>
        <v>2.9934920371273693E-2</v>
      </c>
      <c r="N99" s="27">
        <f t="shared" ca="1" si="73"/>
        <v>2.8728446947745772E-2</v>
      </c>
      <c r="O99" s="27">
        <f t="shared" ca="1" si="73"/>
        <v>2.8763840936137944E-2</v>
      </c>
      <c r="P99" s="27">
        <f t="shared" ca="1" si="73"/>
        <v>3.2202781882987967E-2</v>
      </c>
      <c r="Q99" s="27">
        <f t="shared" ca="1" si="73"/>
        <v>1.4212952481563094E-2</v>
      </c>
      <c r="R99" s="27">
        <f t="shared" ca="1" si="73"/>
        <v>1.8935675804368109E-2</v>
      </c>
      <c r="S99" s="27">
        <f t="shared" ca="1" si="73"/>
        <v>2.2473346128273654E-2</v>
      </c>
      <c r="T99" s="27">
        <f t="shared" ca="1" si="73"/>
        <v>1.8689551247279453E-2</v>
      </c>
      <c r="U99" s="27">
        <f t="shared" ca="1" si="73"/>
        <v>2.0876303189940319E-2</v>
      </c>
      <c r="V99" s="27">
        <f t="shared" ca="1" si="73"/>
        <v>2.3385950602417334E-2</v>
      </c>
      <c r="W99" s="27">
        <f t="shared" ca="1" si="73"/>
        <v>1.9374562086927363E-2</v>
      </c>
      <c r="X99" s="27">
        <f t="shared" ca="1" si="73"/>
        <v>1.3249916103238767E-2</v>
      </c>
      <c r="Y99" s="27">
        <f t="shared" ca="1" si="73"/>
        <v>1.7549204532729946E-2</v>
      </c>
      <c r="Z99" s="27">
        <f t="shared" ca="1" si="73"/>
        <v>1.583130100961502E-2</v>
      </c>
      <c r="AA99" s="27">
        <f t="shared" ca="1" si="73"/>
        <v>1.3780760040034217E-2</v>
      </c>
      <c r="AB99" s="27">
        <f t="shared" ca="1" si="73"/>
        <v>1.5440966188673496E-2</v>
      </c>
      <c r="AC99" s="27">
        <f t="shared" ca="1" si="73"/>
        <v>1.8152076832948651E-2</v>
      </c>
      <c r="AD99" s="27">
        <f t="shared" ca="1" si="73"/>
        <v>1.816935847654351E-2</v>
      </c>
      <c r="AE99" s="27">
        <f t="shared" ca="1" si="73"/>
        <v>1.1876516841557876E-2</v>
      </c>
      <c r="AF99" s="27">
        <f t="shared" ca="1" si="73"/>
        <v>1.5155940369712569E-2</v>
      </c>
    </row>
    <row r="100" spans="1:33">
      <c r="A100" s="2"/>
      <c r="B100" s="2" t="s">
        <v>44</v>
      </c>
      <c r="C100" s="9"/>
      <c r="D100" s="27">
        <f t="shared" ref="D100:AF100" ca="1" si="74">(D84-C84)/D84</f>
        <v>0.27346553479706703</v>
      </c>
      <c r="E100" s="27">
        <f t="shared" ca="1" si="74"/>
        <v>0.2416969335498789</v>
      </c>
      <c r="F100" s="27">
        <f t="shared" ca="1" si="74"/>
        <v>0.21194944461961837</v>
      </c>
      <c r="G100" s="27">
        <f t="shared" ca="1" si="74"/>
        <v>0.1854507553634886</v>
      </c>
      <c r="H100" s="27">
        <f t="shared" ca="1" si="74"/>
        <v>0.16527369457356872</v>
      </c>
      <c r="I100" s="27">
        <f t="shared" ca="1" si="74"/>
        <v>0.1449548997071248</v>
      </c>
      <c r="J100" s="27">
        <f t="shared" ca="1" si="74"/>
        <v>0.12693382138847673</v>
      </c>
      <c r="K100" s="27">
        <f t="shared" ca="1" si="74"/>
        <v>0.11433529350812904</v>
      </c>
      <c r="L100" s="27">
        <f t="shared" ca="1" si="74"/>
        <v>0.10468601630453789</v>
      </c>
      <c r="M100" s="27">
        <f t="shared" ca="1" si="74"/>
        <v>9.0349076387930924E-2</v>
      </c>
      <c r="N100" s="27">
        <f t="shared" ca="1" si="74"/>
        <v>8.1443956071487938E-2</v>
      </c>
      <c r="O100" s="27">
        <f t="shared" ca="1" si="74"/>
        <v>7.5505104381014834E-2</v>
      </c>
      <c r="P100" s="27">
        <f t="shared" ca="1" si="74"/>
        <v>7.0354195408285913E-2</v>
      </c>
      <c r="Q100" s="27">
        <f t="shared" ca="1" si="74"/>
        <v>6.5007150612718015E-2</v>
      </c>
      <c r="R100" s="27">
        <f t="shared" ca="1" si="74"/>
        <v>6.0970685083436817E-2</v>
      </c>
      <c r="S100" s="27">
        <f t="shared" ca="1" si="74"/>
        <v>5.765074896564195E-2</v>
      </c>
      <c r="T100" s="27">
        <f t="shared" ca="1" si="74"/>
        <v>5.4500565957381154E-2</v>
      </c>
      <c r="U100" s="27">
        <f t="shared" ca="1" si="74"/>
        <v>5.1602774985426085E-2</v>
      </c>
      <c r="V100" s="27">
        <f t="shared" ca="1" si="74"/>
        <v>4.9065091616906441E-2</v>
      </c>
      <c r="W100" s="27">
        <f t="shared" ca="1" si="74"/>
        <v>4.6043042290304245E-2</v>
      </c>
      <c r="X100" s="27">
        <f t="shared" ca="1" si="74"/>
        <v>4.358047268662027E-2</v>
      </c>
      <c r="Y100" s="27">
        <f t="shared" ca="1" si="74"/>
        <v>4.2008064364569823E-2</v>
      </c>
      <c r="Z100" s="27">
        <f t="shared" ca="1" si="74"/>
        <v>4.083165586318218E-2</v>
      </c>
      <c r="AA100" s="27">
        <f t="shared" ca="1" si="74"/>
        <v>3.8326376559721147E-2</v>
      </c>
      <c r="AB100" s="27">
        <f t="shared" ca="1" si="74"/>
        <v>3.6985824839459461E-2</v>
      </c>
      <c r="AC100" s="27">
        <f t="shared" ca="1" si="74"/>
        <v>3.5148669174966354E-2</v>
      </c>
      <c r="AD100" s="27">
        <f t="shared" ca="1" si="74"/>
        <v>3.352415230605426E-2</v>
      </c>
      <c r="AE100" s="27">
        <f t="shared" ca="1" si="74"/>
        <v>3.2706994408613674E-2</v>
      </c>
      <c r="AF100" s="27">
        <f t="shared" ca="1" si="74"/>
        <v>3.2030169046060375E-2</v>
      </c>
    </row>
    <row r="102" spans="1:33">
      <c r="B102" s="23" t="s">
        <v>59</v>
      </c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</row>
    <row r="103" spans="1:33">
      <c r="A103" s="20" t="s">
        <v>60</v>
      </c>
      <c r="B103" s="2"/>
      <c r="C103" s="24">
        <f ca="1">'Dayton Kettering MSA Pop'!D17</f>
        <v>107899</v>
      </c>
      <c r="D103" s="24">
        <f ca="1">'Dayton Kettering MSA Pop'!E17</f>
        <v>108223</v>
      </c>
      <c r="E103" s="24">
        <f ca="1">'Dayton Kettering MSA Pop'!F17</f>
        <v>108547</v>
      </c>
      <c r="F103" s="24">
        <f ca="1">'Dayton Kettering MSA Pop'!G17</f>
        <v>108871</v>
      </c>
      <c r="G103" s="24">
        <f ca="1">'Dayton Kettering MSA Pop'!H17</f>
        <v>109195</v>
      </c>
      <c r="H103" s="24">
        <f ca="1">'Dayton Kettering MSA Pop'!I17</f>
        <v>109519</v>
      </c>
      <c r="I103" s="24">
        <f ca="1">'Dayton Kettering MSA Pop'!J17</f>
        <v>109843</v>
      </c>
      <c r="J103" s="24">
        <f ca="1">'Dayton Kettering MSA Pop'!K17</f>
        <v>110167</v>
      </c>
      <c r="K103" s="24">
        <f ca="1">'Dayton Kettering MSA Pop'!L17</f>
        <v>110491</v>
      </c>
      <c r="L103" s="24">
        <f ca="1">'Dayton Kettering MSA Pop'!M17</f>
        <v>110815</v>
      </c>
      <c r="M103" s="24">
        <f ca="1">'Dayton Kettering MSA Pop'!N17</f>
        <v>111139</v>
      </c>
      <c r="N103" s="24">
        <f ca="1">'Dayton Kettering MSA Pop'!O17</f>
        <v>111463</v>
      </c>
      <c r="O103" s="24">
        <f ca="1">'Dayton Kettering MSA Pop'!P17</f>
        <v>111787</v>
      </c>
      <c r="P103" s="24">
        <f ca="1">'Dayton Kettering MSA Pop'!Q17</f>
        <v>112111</v>
      </c>
      <c r="Q103" s="24">
        <f ca="1">'Dayton Kettering MSA Pop'!R17</f>
        <v>112435</v>
      </c>
      <c r="R103" s="24">
        <f ca="1">'Dayton Kettering MSA Pop'!S17</f>
        <v>112759</v>
      </c>
      <c r="S103" s="24">
        <f ca="1">'Dayton Kettering MSA Pop'!T17</f>
        <v>113083</v>
      </c>
      <c r="T103" s="24">
        <f ca="1">'Dayton Kettering MSA Pop'!U17</f>
        <v>113407</v>
      </c>
      <c r="U103" s="24">
        <f ca="1">'Dayton Kettering MSA Pop'!V17</f>
        <v>113731</v>
      </c>
      <c r="V103" s="24">
        <f ca="1">'Dayton Kettering MSA Pop'!W17</f>
        <v>114055</v>
      </c>
      <c r="W103" s="24">
        <f ca="1">'Dayton Kettering MSA Pop'!X17</f>
        <v>114379</v>
      </c>
      <c r="X103" s="24">
        <f ca="1">'Dayton Kettering MSA Pop'!Y17</f>
        <v>114703</v>
      </c>
      <c r="Y103" s="24">
        <f ca="1">'Dayton Kettering MSA Pop'!Z17</f>
        <v>115027</v>
      </c>
      <c r="Z103" s="24">
        <f ca="1">'Dayton Kettering MSA Pop'!AA17</f>
        <v>115351</v>
      </c>
      <c r="AA103" s="24">
        <f ca="1">'Dayton Kettering MSA Pop'!AB17</f>
        <v>115675</v>
      </c>
      <c r="AB103" s="24">
        <f ca="1">'Dayton Kettering MSA Pop'!AC17</f>
        <v>115999</v>
      </c>
      <c r="AC103" s="24">
        <f ca="1">'Dayton Kettering MSA Pop'!AD17</f>
        <v>116323</v>
      </c>
      <c r="AD103" s="24">
        <f ca="1">'Dayton Kettering MSA Pop'!AE17</f>
        <v>116647</v>
      </c>
      <c r="AE103" s="24">
        <f ca="1">'Dayton Kettering MSA Pop'!AF17</f>
        <v>116971</v>
      </c>
      <c r="AF103" s="24">
        <f>'Dayton Kettering MSA Pop'!AG17</f>
        <v>117295</v>
      </c>
      <c r="AG103" s="25">
        <f t="shared" ref="AG103:AG116" ca="1" si="75">AF103/C103</f>
        <v>1.0870814372700395</v>
      </c>
    </row>
    <row r="104" spans="1:33">
      <c r="A104" s="2" t="s">
        <v>43</v>
      </c>
      <c r="B104" s="2" t="s">
        <v>44</v>
      </c>
      <c r="C104" s="24">
        <f t="shared" ref="C104:AF104" ca="1" si="76">C22*C$103</f>
        <v>495418303.53184539</v>
      </c>
      <c r="D104" s="24">
        <f t="shared" ca="1" si="76"/>
        <v>477974130.94229025</v>
      </c>
      <c r="E104" s="24">
        <f t="shared" ca="1" si="76"/>
        <v>499689088.38258094</v>
      </c>
      <c r="F104" s="24">
        <f t="shared" ca="1" si="76"/>
        <v>505388290.30541056</v>
      </c>
      <c r="G104" s="24">
        <f t="shared" ca="1" si="76"/>
        <v>510254724.66374809</v>
      </c>
      <c r="H104" s="24">
        <f t="shared" ca="1" si="76"/>
        <v>513977129.36794823</v>
      </c>
      <c r="I104" s="24">
        <f t="shared" ca="1" si="76"/>
        <v>517204979.84277129</v>
      </c>
      <c r="J104" s="24">
        <f t="shared" ca="1" si="76"/>
        <v>520467727.26011544</v>
      </c>
      <c r="K104" s="24">
        <f t="shared" ca="1" si="76"/>
        <v>523953586.47280186</v>
      </c>
      <c r="L104" s="24">
        <f t="shared" ca="1" si="76"/>
        <v>526405785.50290453</v>
      </c>
      <c r="M104" s="24">
        <f t="shared" ca="1" si="76"/>
        <v>525647404.86430758</v>
      </c>
      <c r="N104" s="24">
        <f t="shared" ca="1" si="76"/>
        <v>525383909.51994908</v>
      </c>
      <c r="O104" s="24">
        <f t="shared" ca="1" si="76"/>
        <v>525743777.16973579</v>
      </c>
      <c r="P104" s="24">
        <f t="shared" ca="1" si="76"/>
        <v>526647408.92884302</v>
      </c>
      <c r="Q104" s="24">
        <f t="shared" ca="1" si="76"/>
        <v>527956064.66602695</v>
      </c>
      <c r="R104" s="24">
        <f t="shared" ca="1" si="76"/>
        <v>529375199.0734868</v>
      </c>
      <c r="S104" s="24">
        <f t="shared" ca="1" si="76"/>
        <v>531185409.23470342</v>
      </c>
      <c r="T104" s="24">
        <f t="shared" ca="1" si="76"/>
        <v>532978364.95272058</v>
      </c>
      <c r="U104" s="24">
        <f t="shared" ca="1" si="76"/>
        <v>534699379.86613077</v>
      </c>
      <c r="V104" s="24">
        <f t="shared" ca="1" si="76"/>
        <v>535994943.09295166</v>
      </c>
      <c r="W104" s="24">
        <f t="shared" ca="1" si="76"/>
        <v>537101952.44814157</v>
      </c>
      <c r="X104" s="24">
        <f t="shared" ca="1" si="76"/>
        <v>538647909.54917002</v>
      </c>
      <c r="Y104" s="24">
        <f t="shared" ca="1" si="76"/>
        <v>540506291.52727652</v>
      </c>
      <c r="Z104" s="24">
        <f t="shared" ca="1" si="76"/>
        <v>542745249.88661492</v>
      </c>
      <c r="AA104" s="24">
        <f t="shared" ca="1" si="76"/>
        <v>545159491.90553975</v>
      </c>
      <c r="AB104" s="24">
        <f t="shared" ca="1" si="76"/>
        <v>547740482.59666812</v>
      </c>
      <c r="AC104" s="24">
        <f t="shared" ca="1" si="76"/>
        <v>550351717.62954402</v>
      </c>
      <c r="AD104" s="24">
        <f t="shared" ca="1" si="76"/>
        <v>553321135.79876733</v>
      </c>
      <c r="AE104" s="24">
        <f t="shared" ca="1" si="76"/>
        <v>556660088.70682704</v>
      </c>
      <c r="AF104" s="24">
        <f t="shared" si="76"/>
        <v>560350085.45249045</v>
      </c>
      <c r="AG104" s="25">
        <f t="shared" ca="1" si="75"/>
        <v>1.1310645599037124</v>
      </c>
    </row>
    <row r="105" spans="1:33">
      <c r="A105" s="2"/>
      <c r="B105" s="2" t="s">
        <v>14</v>
      </c>
      <c r="C105" s="24">
        <f t="shared" ref="C105:AF105" ca="1" si="77">C23*C$103</f>
        <v>2547.0484907502569</v>
      </c>
      <c r="D105" s="24">
        <f t="shared" ca="1" si="77"/>
        <v>2466.1903284439868</v>
      </c>
      <c r="E105" s="24">
        <f t="shared" ca="1" si="77"/>
        <v>2720.8548977751052</v>
      </c>
      <c r="F105" s="24">
        <f t="shared" ca="1" si="77"/>
        <v>2743.5904141787837</v>
      </c>
      <c r="G105" s="24">
        <f t="shared" ca="1" si="77"/>
        <v>2759.972777442702</v>
      </c>
      <c r="H105" s="24">
        <f t="shared" ca="1" si="77"/>
        <v>2762.2590318240623</v>
      </c>
      <c r="I105" s="24">
        <f t="shared" ca="1" si="77"/>
        <v>2758.3545826139502</v>
      </c>
      <c r="J105" s="24">
        <f t="shared" ca="1" si="77"/>
        <v>2750.557661366975</v>
      </c>
      <c r="K105" s="24">
        <f t="shared" ca="1" si="77"/>
        <v>2739.4352240096869</v>
      </c>
      <c r="L105" s="24">
        <f t="shared" ca="1" si="77"/>
        <v>2730.7440793004935</v>
      </c>
      <c r="M105" s="24">
        <f t="shared" ca="1" si="77"/>
        <v>2706.4370950822499</v>
      </c>
      <c r="N105" s="24">
        <f t="shared" ca="1" si="77"/>
        <v>2684.7197266729504</v>
      </c>
      <c r="O105" s="24">
        <f t="shared" ca="1" si="77"/>
        <v>2662.752808541471</v>
      </c>
      <c r="P105" s="24">
        <f t="shared" ca="1" si="77"/>
        <v>2642.7998006954458</v>
      </c>
      <c r="Q105" s="24">
        <f t="shared" ca="1" si="77"/>
        <v>2625.4440595730321</v>
      </c>
      <c r="R105" s="24">
        <f t="shared" ca="1" si="77"/>
        <v>2608.8026753421209</v>
      </c>
      <c r="S105" s="24">
        <f t="shared" ca="1" si="77"/>
        <v>2591.6042840197142</v>
      </c>
      <c r="T105" s="24">
        <f t="shared" ca="1" si="77"/>
        <v>2574.4642688887038</v>
      </c>
      <c r="U105" s="24">
        <f t="shared" ca="1" si="77"/>
        <v>2557.870484079067</v>
      </c>
      <c r="V105" s="24">
        <f t="shared" ca="1" si="77"/>
        <v>2542.1283511645133</v>
      </c>
      <c r="W105" s="24">
        <f t="shared" ca="1" si="77"/>
        <v>2526.8195413152075</v>
      </c>
      <c r="X105" s="24">
        <f t="shared" ca="1" si="77"/>
        <v>2511.8190325156875</v>
      </c>
      <c r="Y105" s="24">
        <f t="shared" ca="1" si="77"/>
        <v>2496.9469000892059</v>
      </c>
      <c r="Z105" s="24">
        <f t="shared" ca="1" si="77"/>
        <v>2483.4304148172064</v>
      </c>
      <c r="AA105" s="24">
        <f t="shared" ca="1" si="77"/>
        <v>2469.439673520199</v>
      </c>
      <c r="AB105" s="24">
        <f t="shared" ca="1" si="77"/>
        <v>2455.1993602429861</v>
      </c>
      <c r="AC105" s="24">
        <f t="shared" ca="1" si="77"/>
        <v>2440.6639985681331</v>
      </c>
      <c r="AD105" s="24">
        <f t="shared" ca="1" si="77"/>
        <v>2426.0101026047028</v>
      </c>
      <c r="AE105" s="24">
        <f t="shared" ca="1" si="77"/>
        <v>2411.0256811125996</v>
      </c>
      <c r="AF105" s="24">
        <f t="shared" si="77"/>
        <v>2395.8499529448673</v>
      </c>
      <c r="AG105" s="25">
        <f t="shared" ca="1" si="75"/>
        <v>0.94063774664892519</v>
      </c>
    </row>
    <row r="106" spans="1:33">
      <c r="A106" s="2" t="s">
        <v>45</v>
      </c>
      <c r="B106" s="2" t="s">
        <v>44</v>
      </c>
      <c r="C106" s="24">
        <f t="shared" ref="C106:AF106" ca="1" si="78">C24*C$103</f>
        <v>414076074.4946903</v>
      </c>
      <c r="D106" s="24">
        <f t="shared" ca="1" si="78"/>
        <v>417906256.96803904</v>
      </c>
      <c r="E106" s="24">
        <f t="shared" ca="1" si="78"/>
        <v>421931676.34907824</v>
      </c>
      <c r="F106" s="24">
        <f t="shared" ca="1" si="78"/>
        <v>423572861.79064959</v>
      </c>
      <c r="G106" s="24">
        <f t="shared" ca="1" si="78"/>
        <v>425341242.17325264</v>
      </c>
      <c r="H106" s="24">
        <f t="shared" ca="1" si="78"/>
        <v>425709366.5978846</v>
      </c>
      <c r="I106" s="24">
        <f t="shared" ca="1" si="78"/>
        <v>427411962.23197728</v>
      </c>
      <c r="J106" s="24">
        <f t="shared" ca="1" si="78"/>
        <v>428914296.93473655</v>
      </c>
      <c r="K106" s="24">
        <f t="shared" ca="1" si="78"/>
        <v>430562032.41800278</v>
      </c>
      <c r="L106" s="24">
        <f t="shared" ca="1" si="78"/>
        <v>430936974.42444551</v>
      </c>
      <c r="M106" s="24">
        <f t="shared" ca="1" si="78"/>
        <v>429466901.18168294</v>
      </c>
      <c r="N106" s="24">
        <f t="shared" ca="1" si="78"/>
        <v>428521103.34884828</v>
      </c>
      <c r="O106" s="24">
        <f t="shared" ca="1" si="78"/>
        <v>428239804.49438888</v>
      </c>
      <c r="P106" s="24">
        <f t="shared" ca="1" si="78"/>
        <v>428490723.30329192</v>
      </c>
      <c r="Q106" s="24">
        <f t="shared" ca="1" si="78"/>
        <v>429017403.12978899</v>
      </c>
      <c r="R106" s="24">
        <f t="shared" ca="1" si="78"/>
        <v>429579871.62009686</v>
      </c>
      <c r="S106" s="24">
        <f t="shared" ca="1" si="78"/>
        <v>430289945.92088932</v>
      </c>
      <c r="T106" s="24">
        <f t="shared" ca="1" si="78"/>
        <v>431132498.86399072</v>
      </c>
      <c r="U106" s="24">
        <f t="shared" ca="1" si="78"/>
        <v>431728788.48818707</v>
      </c>
      <c r="V106" s="24">
        <f t="shared" ca="1" si="78"/>
        <v>431988021.31666529</v>
      </c>
      <c r="W106" s="24">
        <f t="shared" ca="1" si="78"/>
        <v>432783750.72893524</v>
      </c>
      <c r="X106" s="24">
        <f t="shared" ca="1" si="78"/>
        <v>434042419.04064512</v>
      </c>
      <c r="Y106" s="24">
        <f t="shared" ca="1" si="78"/>
        <v>435573433.17019093</v>
      </c>
      <c r="Z106" s="24">
        <f t="shared" ca="1" si="78"/>
        <v>437147941.7572192</v>
      </c>
      <c r="AA106" s="24">
        <f t="shared" ca="1" si="78"/>
        <v>438960327.3371737</v>
      </c>
      <c r="AB106" s="24">
        <f t="shared" ca="1" si="78"/>
        <v>440363076.71986586</v>
      </c>
      <c r="AC106" s="24">
        <f t="shared" ca="1" si="78"/>
        <v>442146598.28137082</v>
      </c>
      <c r="AD106" s="24">
        <f t="shared" ca="1" si="78"/>
        <v>443973004.70387715</v>
      </c>
      <c r="AE106" s="24">
        <f t="shared" ca="1" si="78"/>
        <v>446288463.51862544</v>
      </c>
      <c r="AF106" s="24">
        <f t="shared" si="78"/>
        <v>448753741.11464942</v>
      </c>
      <c r="AG106" s="25">
        <f t="shared" ca="1" si="75"/>
        <v>1.0837470908269147</v>
      </c>
    </row>
    <row r="107" spans="1:33">
      <c r="A107" s="2"/>
      <c r="B107" s="2" t="s">
        <v>14</v>
      </c>
      <c r="C107" s="24">
        <f t="shared" ref="C107:AF107" ca="1" si="79">C25*C$103</f>
        <v>1670.6140047105173</v>
      </c>
      <c r="D107" s="24">
        <f t="shared" ca="1" si="79"/>
        <v>1733.5081790186994</v>
      </c>
      <c r="E107" s="24">
        <f t="shared" ca="1" si="79"/>
        <v>1714.9045967700372</v>
      </c>
      <c r="F107" s="24">
        <f t="shared" ca="1" si="79"/>
        <v>1726.2184109094037</v>
      </c>
      <c r="G107" s="24">
        <f t="shared" ca="1" si="79"/>
        <v>1741.5125366189902</v>
      </c>
      <c r="H107" s="24">
        <f t="shared" ca="1" si="79"/>
        <v>1749.7348608883137</v>
      </c>
      <c r="I107" s="24">
        <f t="shared" ca="1" si="79"/>
        <v>1764.1919883459946</v>
      </c>
      <c r="J107" s="24">
        <f t="shared" ca="1" si="79"/>
        <v>1771.2013037241857</v>
      </c>
      <c r="K107" s="24">
        <f t="shared" ca="1" si="79"/>
        <v>1772.0608123162085</v>
      </c>
      <c r="L107" s="24">
        <f t="shared" ca="1" si="79"/>
        <v>1774.104883127002</v>
      </c>
      <c r="M107" s="24">
        <f t="shared" ca="1" si="79"/>
        <v>1768.0299568512617</v>
      </c>
      <c r="N107" s="24">
        <f t="shared" ca="1" si="79"/>
        <v>1764.3740047125355</v>
      </c>
      <c r="O107" s="24">
        <f t="shared" ca="1" si="79"/>
        <v>1759.480305771034</v>
      </c>
      <c r="P107" s="24">
        <f t="shared" ca="1" si="79"/>
        <v>1756.2757214824867</v>
      </c>
      <c r="Q107" s="24">
        <f t="shared" ca="1" si="79"/>
        <v>1755.2136676229854</v>
      </c>
      <c r="R107" s="24">
        <f t="shared" ca="1" si="79"/>
        <v>1753.8942500209891</v>
      </c>
      <c r="S107" s="24">
        <f t="shared" ca="1" si="79"/>
        <v>1750.7696910032578</v>
      </c>
      <c r="T107" s="24">
        <f t="shared" ca="1" si="79"/>
        <v>1746.7091115451749</v>
      </c>
      <c r="U107" s="24">
        <f t="shared" ca="1" si="79"/>
        <v>1742.3860100074437</v>
      </c>
      <c r="V107" s="24">
        <f t="shared" ca="1" si="79"/>
        <v>1738.0645366636491</v>
      </c>
      <c r="W107" s="24">
        <f t="shared" ca="1" si="79"/>
        <v>1734.1564919335026</v>
      </c>
      <c r="X107" s="24">
        <f t="shared" ca="1" si="79"/>
        <v>1730.5468099584386</v>
      </c>
      <c r="Y107" s="24">
        <f t="shared" ca="1" si="79"/>
        <v>1726.8881962533453</v>
      </c>
      <c r="Z107" s="24">
        <f t="shared" ca="1" si="79"/>
        <v>1724.3163849568236</v>
      </c>
      <c r="AA107" s="24">
        <f t="shared" ca="1" si="79"/>
        <v>1721.4030519636976</v>
      </c>
      <c r="AB107" s="24">
        <f t="shared" ca="1" si="79"/>
        <v>1718.0387420669811</v>
      </c>
      <c r="AC107" s="24">
        <f t="shared" ca="1" si="79"/>
        <v>1714.2166386922281</v>
      </c>
      <c r="AD107" s="24">
        <f t="shared" ca="1" si="79"/>
        <v>1710.2347064365449</v>
      </c>
      <c r="AE107" s="24">
        <f t="shared" ca="1" si="79"/>
        <v>1705.7986647230321</v>
      </c>
      <c r="AF107" s="24">
        <f t="shared" si="79"/>
        <v>1701.0488671476746</v>
      </c>
      <c r="AG107" s="25">
        <f t="shared" ca="1" si="75"/>
        <v>1.0182177704432875</v>
      </c>
    </row>
    <row r="108" spans="1:33">
      <c r="A108" s="2"/>
      <c r="B108" s="2" t="s">
        <v>46</v>
      </c>
      <c r="C108" s="24">
        <f t="shared" ref="C108:AF108" ca="1" si="80">C26*C$103</f>
        <v>139.92862778348751</v>
      </c>
      <c r="D108" s="24">
        <f t="shared" ca="1" si="80"/>
        <v>140.94611502830676</v>
      </c>
      <c r="E108" s="24">
        <f t="shared" ca="1" si="80"/>
        <v>143.05713203333048</v>
      </c>
      <c r="F108" s="24">
        <f t="shared" ca="1" si="80"/>
        <v>143.77191594252776</v>
      </c>
      <c r="G108" s="24">
        <f t="shared" ca="1" si="80"/>
        <v>144.84378985007754</v>
      </c>
      <c r="H108" s="24">
        <f t="shared" ca="1" si="80"/>
        <v>145.64751875808537</v>
      </c>
      <c r="I108" s="24">
        <f t="shared" ca="1" si="80"/>
        <v>146.71967705455802</v>
      </c>
      <c r="J108" s="24">
        <f t="shared" ca="1" si="80"/>
        <v>147.43510723235119</v>
      </c>
      <c r="K108" s="24">
        <f t="shared" ca="1" si="80"/>
        <v>148.13362662169175</v>
      </c>
      <c r="L108" s="24">
        <f t="shared" ca="1" si="80"/>
        <v>148.59436715435893</v>
      </c>
      <c r="M108" s="24">
        <f t="shared" ca="1" si="80"/>
        <v>148.33529265351822</v>
      </c>
      <c r="N108" s="24">
        <f t="shared" ca="1" si="80"/>
        <v>148.09842695570217</v>
      </c>
      <c r="O108" s="24">
        <f t="shared" ca="1" si="80"/>
        <v>147.99794535845197</v>
      </c>
      <c r="P108" s="24">
        <f t="shared" ca="1" si="80"/>
        <v>147.82373988635402</v>
      </c>
      <c r="Q108" s="24">
        <f t="shared" ca="1" si="80"/>
        <v>147.7470470846342</v>
      </c>
      <c r="R108" s="24">
        <f t="shared" ca="1" si="80"/>
        <v>147.57787347829736</v>
      </c>
      <c r="S108" s="24">
        <f t="shared" ca="1" si="80"/>
        <v>147.42070821151117</v>
      </c>
      <c r="T108" s="24">
        <f t="shared" ca="1" si="80"/>
        <v>147.18119009226166</v>
      </c>
      <c r="U108" s="24">
        <f t="shared" ca="1" si="80"/>
        <v>147.17022793813581</v>
      </c>
      <c r="V108" s="24">
        <f t="shared" ca="1" si="80"/>
        <v>146.96396469426384</v>
      </c>
      <c r="W108" s="24">
        <f t="shared" ca="1" si="80"/>
        <v>146.86334788305626</v>
      </c>
      <c r="X108" s="24">
        <f t="shared" ca="1" si="80"/>
        <v>146.83030918425555</v>
      </c>
      <c r="Y108" s="24">
        <f t="shared" ca="1" si="80"/>
        <v>146.64053523639606</v>
      </c>
      <c r="Z108" s="24">
        <f t="shared" ca="1" si="80"/>
        <v>146.44391744007746</v>
      </c>
      <c r="AA108" s="24">
        <f t="shared" ca="1" si="80"/>
        <v>146.3705425267047</v>
      </c>
      <c r="AB108" s="24">
        <f t="shared" ca="1" si="80"/>
        <v>146.19712508992086</v>
      </c>
      <c r="AC108" s="24">
        <f t="shared" ca="1" si="80"/>
        <v>146.17408567337523</v>
      </c>
      <c r="AD108" s="24">
        <f t="shared" ca="1" si="80"/>
        <v>146.20816277412715</v>
      </c>
      <c r="AE108" s="24">
        <f t="shared" ca="1" si="80"/>
        <v>146.21605421164602</v>
      </c>
      <c r="AF108" s="24">
        <f t="shared" si="80"/>
        <v>146.22549760803074</v>
      </c>
      <c r="AG108" s="25">
        <f t="shared" ca="1" si="75"/>
        <v>1.0450005829706728</v>
      </c>
    </row>
    <row r="109" spans="1:33">
      <c r="A109" s="2"/>
      <c r="B109" s="2" t="s">
        <v>47</v>
      </c>
      <c r="C109" s="24">
        <f t="shared" ref="C109:AF109" ca="1" si="81">C27*C$103</f>
        <v>133.80178323055841</v>
      </c>
      <c r="D109" s="24">
        <f t="shared" ca="1" si="81"/>
        <v>138.67174249442442</v>
      </c>
      <c r="E109" s="24">
        <f t="shared" ca="1" si="81"/>
        <v>146.80559814448932</v>
      </c>
      <c r="F109" s="24">
        <f t="shared" ca="1" si="81"/>
        <v>146.69437589262668</v>
      </c>
      <c r="G109" s="24">
        <f t="shared" ca="1" si="81"/>
        <v>146.77253144925038</v>
      </c>
      <c r="H109" s="24">
        <f t="shared" ca="1" si="81"/>
        <v>146.86597076326004</v>
      </c>
      <c r="I109" s="24">
        <f t="shared" ca="1" si="81"/>
        <v>148.62561999309392</v>
      </c>
      <c r="J109" s="24">
        <f t="shared" ca="1" si="81"/>
        <v>149.46272072928369</v>
      </c>
      <c r="K109" s="24">
        <f t="shared" ca="1" si="81"/>
        <v>149.73910041515308</v>
      </c>
      <c r="L109" s="24">
        <f t="shared" ca="1" si="81"/>
        <v>149.9566500735867</v>
      </c>
      <c r="M109" s="24">
        <f t="shared" ca="1" si="81"/>
        <v>149.1106142451124</v>
      </c>
      <c r="N109" s="24">
        <f t="shared" ca="1" si="81"/>
        <v>148.27033459000941</v>
      </c>
      <c r="O109" s="24">
        <f t="shared" ca="1" si="81"/>
        <v>147.47383957036911</v>
      </c>
      <c r="P109" s="24">
        <f t="shared" ca="1" si="81"/>
        <v>146.79685599185819</v>
      </c>
      <c r="Q109" s="24">
        <f t="shared" ca="1" si="81"/>
        <v>146.08675470424436</v>
      </c>
      <c r="R109" s="24">
        <f t="shared" ca="1" si="81"/>
        <v>145.29637578708756</v>
      </c>
      <c r="S109" s="24">
        <f t="shared" ca="1" si="81"/>
        <v>144.34117784646227</v>
      </c>
      <c r="T109" s="24">
        <f t="shared" ca="1" si="81"/>
        <v>143.42954966336964</v>
      </c>
      <c r="U109" s="24">
        <f t="shared" ca="1" si="81"/>
        <v>142.64582044495904</v>
      </c>
      <c r="V109" s="24">
        <f t="shared" ca="1" si="81"/>
        <v>141.78263311661593</v>
      </c>
      <c r="W109" s="24">
        <f t="shared" ca="1" si="81"/>
        <v>140.96221202194744</v>
      </c>
      <c r="X109" s="24">
        <f t="shared" ca="1" si="81"/>
        <v>140.26837405264445</v>
      </c>
      <c r="Y109" s="24">
        <f t="shared" ca="1" si="81"/>
        <v>139.43910437109724</v>
      </c>
      <c r="Z109" s="24">
        <f t="shared" ca="1" si="81"/>
        <v>138.47519368896781</v>
      </c>
      <c r="AA109" s="24">
        <f t="shared" ca="1" si="81"/>
        <v>137.57251626375393</v>
      </c>
      <c r="AB109" s="24">
        <f t="shared" ca="1" si="81"/>
        <v>136.72138550075931</v>
      </c>
      <c r="AC109" s="24">
        <f t="shared" ca="1" si="81"/>
        <v>135.99547617532417</v>
      </c>
      <c r="AD109" s="24">
        <f t="shared" ca="1" si="81"/>
        <v>135.41247415089859</v>
      </c>
      <c r="AE109" s="24">
        <f t="shared" ca="1" si="81"/>
        <v>134.90698345284059</v>
      </c>
      <c r="AF109" s="24">
        <f t="shared" si="81"/>
        <v>134.46012195121949</v>
      </c>
      <c r="AG109" s="25">
        <f t="shared" ca="1" si="75"/>
        <v>1.004920253712364</v>
      </c>
    </row>
    <row r="110" spans="1:33">
      <c r="A110" s="2" t="s">
        <v>48</v>
      </c>
      <c r="B110" s="2" t="s">
        <v>44</v>
      </c>
      <c r="C110" s="24">
        <f t="shared" ref="C110:AF110" ca="1" si="82">C28*C$103</f>
        <v>450559601.97327256</v>
      </c>
      <c r="D110" s="24">
        <f t="shared" ca="1" si="82"/>
        <v>464311874.13983554</v>
      </c>
      <c r="E110" s="24">
        <f t="shared" ca="1" si="82"/>
        <v>479328184.21207398</v>
      </c>
      <c r="F110" s="24">
        <f t="shared" ca="1" si="82"/>
        <v>481936319.80797434</v>
      </c>
      <c r="G110" s="24">
        <f t="shared" ca="1" si="82"/>
        <v>488232054.75040543</v>
      </c>
      <c r="H110" s="24">
        <f t="shared" ca="1" si="82"/>
        <v>494730314.68491095</v>
      </c>
      <c r="I110" s="24">
        <f t="shared" ca="1" si="82"/>
        <v>498081736.59572756</v>
      </c>
      <c r="J110" s="24">
        <f t="shared" ca="1" si="82"/>
        <v>501178935.62742233</v>
      </c>
      <c r="K110" s="24">
        <f t="shared" ca="1" si="82"/>
        <v>506092313.99871427</v>
      </c>
      <c r="L110" s="24">
        <f t="shared" ca="1" si="82"/>
        <v>509390500.81152493</v>
      </c>
      <c r="M110" s="24">
        <f t="shared" ca="1" si="82"/>
        <v>510208558.28458506</v>
      </c>
      <c r="N110" s="24">
        <f t="shared" ca="1" si="82"/>
        <v>511421443.66728842</v>
      </c>
      <c r="O110" s="24">
        <f t="shared" ca="1" si="82"/>
        <v>512131741.873914</v>
      </c>
      <c r="P110" s="24">
        <f t="shared" ca="1" si="82"/>
        <v>512564306.77929199</v>
      </c>
      <c r="Q110" s="24">
        <f t="shared" ca="1" si="82"/>
        <v>513388503.36685127</v>
      </c>
      <c r="R110" s="24">
        <f t="shared" ca="1" si="82"/>
        <v>514219216.13993144</v>
      </c>
      <c r="S110" s="24">
        <f t="shared" ca="1" si="82"/>
        <v>516200754.89873081</v>
      </c>
      <c r="T110" s="24">
        <f t="shared" ca="1" si="82"/>
        <v>517700018.28562641</v>
      </c>
      <c r="U110" s="24">
        <f t="shared" ca="1" si="82"/>
        <v>518712081.9883135</v>
      </c>
      <c r="V110" s="24">
        <f t="shared" ca="1" si="82"/>
        <v>519187706.08026791</v>
      </c>
      <c r="W110" s="24">
        <f t="shared" ca="1" si="82"/>
        <v>520822556.4645884</v>
      </c>
      <c r="X110" s="24">
        <f t="shared" ca="1" si="82"/>
        <v>523229520.47394776</v>
      </c>
      <c r="Y110" s="24">
        <f t="shared" ca="1" si="82"/>
        <v>525174130.91737372</v>
      </c>
      <c r="Z110" s="24">
        <f t="shared" ca="1" si="82"/>
        <v>526378929.56338024</v>
      </c>
      <c r="AA110" s="24">
        <f t="shared" ca="1" si="82"/>
        <v>527884726.99407679</v>
      </c>
      <c r="AB110" s="24">
        <f t="shared" ca="1" si="82"/>
        <v>529623671.01017982</v>
      </c>
      <c r="AC110" s="24">
        <f t="shared" ca="1" si="82"/>
        <v>530085880.76451004</v>
      </c>
      <c r="AD110" s="24">
        <f t="shared" ca="1" si="82"/>
        <v>529818663.78848881</v>
      </c>
      <c r="AE110" s="24">
        <f t="shared" ca="1" si="82"/>
        <v>530682707.45636702</v>
      </c>
      <c r="AF110" s="24">
        <f t="shared" si="82"/>
        <v>533504464.20977569</v>
      </c>
      <c r="AG110" s="25">
        <f t="shared" ca="1" si="75"/>
        <v>1.1840929854191042</v>
      </c>
    </row>
    <row r="111" spans="1:33">
      <c r="A111" s="2"/>
      <c r="B111" s="2" t="s">
        <v>14</v>
      </c>
      <c r="C111" s="24">
        <f t="shared" ref="C111:AF111" ca="1" si="83">C29*C$103</f>
        <v>3015.3223882322714</v>
      </c>
      <c r="D111" s="24">
        <f t="shared" ca="1" si="83"/>
        <v>3093.4994059015271</v>
      </c>
      <c r="E111" s="24">
        <f t="shared" ca="1" si="83"/>
        <v>3220.4359147839532</v>
      </c>
      <c r="F111" s="24">
        <f t="shared" ca="1" si="83"/>
        <v>3235.0507624537554</v>
      </c>
      <c r="G111" s="24">
        <f t="shared" ca="1" si="83"/>
        <v>3260.4482926934347</v>
      </c>
      <c r="H111" s="24">
        <f t="shared" ca="1" si="83"/>
        <v>3303.9601244501941</v>
      </c>
      <c r="I111" s="24">
        <f t="shared" ca="1" si="83"/>
        <v>3306.5170469613263</v>
      </c>
      <c r="J111" s="24">
        <f t="shared" ca="1" si="83"/>
        <v>3311.1118791151821</v>
      </c>
      <c r="K111" s="24">
        <f t="shared" ca="1" si="83"/>
        <v>3328.4625347690708</v>
      </c>
      <c r="L111" s="24">
        <f t="shared" ca="1" si="83"/>
        <v>3347.8390546273049</v>
      </c>
      <c r="M111" s="24">
        <f t="shared" ca="1" si="83"/>
        <v>3341.4829098268883</v>
      </c>
      <c r="N111" s="24">
        <f t="shared" ca="1" si="83"/>
        <v>3347.0129886899149</v>
      </c>
      <c r="O111" s="24">
        <f t="shared" ca="1" si="83"/>
        <v>3340.3358297672835</v>
      </c>
      <c r="P111" s="24">
        <f t="shared" ca="1" si="83"/>
        <v>3335.471020269697</v>
      </c>
      <c r="Q111" s="24">
        <f t="shared" ca="1" si="83"/>
        <v>3341.7036798582399</v>
      </c>
      <c r="R111" s="24">
        <f t="shared" ca="1" si="83"/>
        <v>3342.5455863487532</v>
      </c>
      <c r="S111" s="24">
        <f t="shared" ca="1" si="83"/>
        <v>3348.167434132487</v>
      </c>
      <c r="T111" s="24">
        <f t="shared" ca="1" si="83"/>
        <v>3358.4345775081038</v>
      </c>
      <c r="U111" s="24">
        <f t="shared" ca="1" si="83"/>
        <v>3363.5630492101564</v>
      </c>
      <c r="V111" s="24">
        <f t="shared" ca="1" si="83"/>
        <v>3372.7652629413219</v>
      </c>
      <c r="W111" s="24">
        <f t="shared" ca="1" si="83"/>
        <v>3390.3617892064535</v>
      </c>
      <c r="X111" s="24">
        <f t="shared" ca="1" si="83"/>
        <v>3416.0854751039037</v>
      </c>
      <c r="Y111" s="24">
        <f t="shared" ca="1" si="83"/>
        <v>3446.4816788581625</v>
      </c>
      <c r="Z111" s="24">
        <f t="shared" ca="1" si="83"/>
        <v>3458.9660448712775</v>
      </c>
      <c r="AA111" s="24">
        <f t="shared" ca="1" si="83"/>
        <v>3492.0081599871496</v>
      </c>
      <c r="AB111" s="24">
        <f t="shared" ca="1" si="83"/>
        <v>3512.124466629366</v>
      </c>
      <c r="AC111" s="24">
        <f t="shared" ca="1" si="83"/>
        <v>3520.0130030228306</v>
      </c>
      <c r="AD111" s="24">
        <f t="shared" ca="1" si="83"/>
        <v>3534.7245537170452</v>
      </c>
      <c r="AE111" s="24">
        <f t="shared" ca="1" si="83"/>
        <v>3550.6334601686235</v>
      </c>
      <c r="AF111" s="24">
        <f t="shared" si="83"/>
        <v>3583.6193588738138</v>
      </c>
      <c r="AG111" s="25">
        <f t="shared" ca="1" si="75"/>
        <v>1.188469721466402</v>
      </c>
    </row>
    <row r="112" spans="1:33">
      <c r="A112" s="2"/>
      <c r="B112" s="2" t="s">
        <v>47</v>
      </c>
      <c r="C112" s="24">
        <f t="shared" ref="C112:AF112" ca="1" si="84">C30*C$103</f>
        <v>330.34134575196987</v>
      </c>
      <c r="D112" s="24">
        <f t="shared" ca="1" si="84"/>
        <v>340.79383710756565</v>
      </c>
      <c r="E112" s="24">
        <f t="shared" ca="1" si="84"/>
        <v>343.43222721415685</v>
      </c>
      <c r="F112" s="24">
        <f t="shared" ca="1" si="84"/>
        <v>345.01887757033472</v>
      </c>
      <c r="G112" s="24">
        <f t="shared" ca="1" si="84"/>
        <v>348.70707263484405</v>
      </c>
      <c r="H112" s="24">
        <f t="shared" ca="1" si="84"/>
        <v>352.15152022423462</v>
      </c>
      <c r="I112" s="24">
        <f t="shared" ca="1" si="84"/>
        <v>353.50026243093924</v>
      </c>
      <c r="J112" s="24">
        <f t="shared" ca="1" si="84"/>
        <v>354.75620746565278</v>
      </c>
      <c r="K112" s="24">
        <f t="shared" ca="1" si="84"/>
        <v>356.71143028887741</v>
      </c>
      <c r="L112" s="24">
        <f t="shared" ca="1" si="84"/>
        <v>359.39325859232969</v>
      </c>
      <c r="M112" s="24">
        <f t="shared" ca="1" si="84"/>
        <v>359.59606855568001</v>
      </c>
      <c r="N112" s="24">
        <f t="shared" ca="1" si="84"/>
        <v>361.13973798303488</v>
      </c>
      <c r="O112" s="24">
        <f t="shared" ca="1" si="84"/>
        <v>361.56628940414288</v>
      </c>
      <c r="P112" s="24">
        <f t="shared" ca="1" si="84"/>
        <v>361.55821270460518</v>
      </c>
      <c r="Q112" s="24">
        <f t="shared" ca="1" si="84"/>
        <v>362.00066323517001</v>
      </c>
      <c r="R112" s="24">
        <f t="shared" ca="1" si="84"/>
        <v>362.36052749559229</v>
      </c>
      <c r="S112" s="24">
        <f t="shared" ca="1" si="84"/>
        <v>363.83801085957731</v>
      </c>
      <c r="T112" s="24">
        <f t="shared" ca="1" si="84"/>
        <v>365.84149921037323</v>
      </c>
      <c r="U112" s="24">
        <f t="shared" ca="1" si="84"/>
        <v>367.65278852038705</v>
      </c>
      <c r="V112" s="24">
        <f t="shared" ca="1" si="84"/>
        <v>368.97275903217843</v>
      </c>
      <c r="W112" s="24">
        <f t="shared" ca="1" si="84"/>
        <v>370.14172172631231</v>
      </c>
      <c r="X112" s="24">
        <f t="shared" ca="1" si="84"/>
        <v>371.41300643794312</v>
      </c>
      <c r="Y112" s="24">
        <f t="shared" ca="1" si="84"/>
        <v>372.47815343443358</v>
      </c>
      <c r="Z112" s="24">
        <f t="shared" ca="1" si="84"/>
        <v>373.66425542732628</v>
      </c>
      <c r="AA112" s="24">
        <f t="shared" ca="1" si="84"/>
        <v>375.04490201590232</v>
      </c>
      <c r="AB112" s="24">
        <f t="shared" ca="1" si="84"/>
        <v>376.45203405003593</v>
      </c>
      <c r="AC112" s="24">
        <f t="shared" ca="1" si="84"/>
        <v>377.45060003181925</v>
      </c>
      <c r="AD112" s="24">
        <f t="shared" ca="1" si="84"/>
        <v>378.43090539149711</v>
      </c>
      <c r="AE112" s="24">
        <f t="shared" ca="1" si="84"/>
        <v>379.84468142778348</v>
      </c>
      <c r="AF112" s="24">
        <f t="shared" si="84"/>
        <v>381.89176731236762</v>
      </c>
      <c r="AG112" s="25">
        <f t="shared" ca="1" si="75"/>
        <v>1.1560519814528556</v>
      </c>
    </row>
    <row r="113" spans="1:33">
      <c r="A113" s="2"/>
      <c r="B113" s="2" t="s">
        <v>49</v>
      </c>
      <c r="C113" s="24">
        <f t="shared" ref="C113:AF113" ca="1" si="85">C31*C$103</f>
        <v>763.06475907845152</v>
      </c>
      <c r="D113" s="24">
        <f t="shared" ca="1" si="85"/>
        <v>883.6262204494767</v>
      </c>
      <c r="E113" s="24">
        <f t="shared" ca="1" si="85"/>
        <v>910.75604595825098</v>
      </c>
      <c r="F113" s="24">
        <f t="shared" ca="1" si="85"/>
        <v>893.92617095414266</v>
      </c>
      <c r="G113" s="24">
        <f t="shared" ca="1" si="85"/>
        <v>889.06520075822846</v>
      </c>
      <c r="H113" s="24">
        <f t="shared" ca="1" si="85"/>
        <v>906.79276205260885</v>
      </c>
      <c r="I113" s="24">
        <f t="shared" ca="1" si="85"/>
        <v>894.7406454592541</v>
      </c>
      <c r="J113" s="24">
        <f t="shared" ca="1" si="85"/>
        <v>882.94476376047692</v>
      </c>
      <c r="K113" s="24">
        <f t="shared" ca="1" si="85"/>
        <v>873.06238271925281</v>
      </c>
      <c r="L113" s="24">
        <f t="shared" ca="1" si="85"/>
        <v>861.77825599515199</v>
      </c>
      <c r="M113" s="24">
        <f t="shared" ca="1" si="85"/>
        <v>847.89552131599339</v>
      </c>
      <c r="N113" s="24">
        <f t="shared" ca="1" si="85"/>
        <v>842.8535805843544</v>
      </c>
      <c r="O113" s="24">
        <f t="shared" ca="1" si="85"/>
        <v>834.70040729690572</v>
      </c>
      <c r="P113" s="24">
        <f t="shared" ca="1" si="85"/>
        <v>831.39562717326771</v>
      </c>
      <c r="Q113" s="24">
        <f t="shared" ca="1" si="85"/>
        <v>826.34174879756984</v>
      </c>
      <c r="R113" s="24">
        <f t="shared" ca="1" si="85"/>
        <v>823.53546536814713</v>
      </c>
      <c r="S113" s="24">
        <f t="shared" ca="1" si="85"/>
        <v>823.70824776543316</v>
      </c>
      <c r="T113" s="24">
        <f t="shared" ca="1" si="85"/>
        <v>822.72154933089519</v>
      </c>
      <c r="U113" s="24">
        <f t="shared" ca="1" si="85"/>
        <v>814.02650492101566</v>
      </c>
      <c r="V113" s="24">
        <f t="shared" ca="1" si="85"/>
        <v>802.93743807094063</v>
      </c>
      <c r="W113" s="24">
        <f t="shared" ca="1" si="85"/>
        <v>798.6391203013676</v>
      </c>
      <c r="X113" s="24">
        <f t="shared" ca="1" si="85"/>
        <v>795.85430062749572</v>
      </c>
      <c r="Y113" s="24">
        <f t="shared" ca="1" si="85"/>
        <v>789.90928010704727</v>
      </c>
      <c r="Z113" s="24">
        <f t="shared" ca="1" si="85"/>
        <v>780.73943321765796</v>
      </c>
      <c r="AA113" s="24">
        <f t="shared" ca="1" si="85"/>
        <v>769.14445225283112</v>
      </c>
      <c r="AB113" s="24">
        <f t="shared" ca="1" si="85"/>
        <v>760.19167212852687</v>
      </c>
      <c r="AC113" s="24">
        <f t="shared" ca="1" si="85"/>
        <v>748.79403436480789</v>
      </c>
      <c r="AD113" s="24">
        <f t="shared" ca="1" si="85"/>
        <v>730.65294481830415</v>
      </c>
      <c r="AE113" s="24">
        <f t="shared" ca="1" si="85"/>
        <v>720.61915018517061</v>
      </c>
      <c r="AF113" s="24">
        <f t="shared" si="85"/>
        <v>718.9665602697828</v>
      </c>
      <c r="AG113" s="25">
        <f t="shared" ca="1" si="75"/>
        <v>0.9422091004937434</v>
      </c>
    </row>
    <row r="114" spans="1:33">
      <c r="A114" s="2" t="s">
        <v>50</v>
      </c>
      <c r="B114" s="2" t="s">
        <v>46</v>
      </c>
      <c r="C114" s="24">
        <f t="shared" ref="C114:AF114" ca="1" si="86">C32*C$103</f>
        <v>5064.6825829907502</v>
      </c>
      <c r="D114" s="24">
        <f t="shared" ca="1" si="86"/>
        <v>5236.0975801166578</v>
      </c>
      <c r="E114" s="24">
        <f t="shared" ca="1" si="86"/>
        <v>5354.2922090026632</v>
      </c>
      <c r="F114" s="24">
        <f t="shared" ca="1" si="86"/>
        <v>5355.3797579798675</v>
      </c>
      <c r="G114" s="24">
        <f t="shared" ca="1" si="86"/>
        <v>5349.5106569877644</v>
      </c>
      <c r="H114" s="24">
        <f t="shared" ca="1" si="86"/>
        <v>5330.8219762828803</v>
      </c>
      <c r="I114" s="24">
        <f t="shared" ca="1" si="86"/>
        <v>5302.9116755006908</v>
      </c>
      <c r="J114" s="24">
        <f t="shared" ca="1" si="86"/>
        <v>5271.4238388490448</v>
      </c>
      <c r="K114" s="24">
        <f t="shared" ca="1" si="86"/>
        <v>5244.7675223144788</v>
      </c>
      <c r="L114" s="24">
        <f t="shared" ca="1" si="86"/>
        <v>5224.0192212795428</v>
      </c>
      <c r="M114" s="24">
        <f t="shared" ca="1" si="86"/>
        <v>5174.410155456033</v>
      </c>
      <c r="N114" s="24">
        <f t="shared" ca="1" si="86"/>
        <v>5122.7424476908573</v>
      </c>
      <c r="O114" s="24">
        <f t="shared" ca="1" si="86"/>
        <v>5080.7005680675138</v>
      </c>
      <c r="P114" s="24">
        <f t="shared" ca="1" si="86"/>
        <v>5040.9445135272663</v>
      </c>
      <c r="Q114" s="24">
        <f t="shared" ca="1" si="86"/>
        <v>5000.8196245042609</v>
      </c>
      <c r="R114" s="24">
        <f t="shared" ca="1" si="86"/>
        <v>4964.5957768449334</v>
      </c>
      <c r="S114" s="24">
        <f t="shared" ca="1" si="86"/>
        <v>4934.6829104502549</v>
      </c>
      <c r="T114" s="24">
        <f t="shared" ca="1" si="86"/>
        <v>4907.4661728867095</v>
      </c>
      <c r="U114" s="24">
        <f t="shared" ca="1" si="86"/>
        <v>4885.2313423207343</v>
      </c>
      <c r="V114" s="24">
        <f t="shared" ca="1" si="86"/>
        <v>4866.2840901983373</v>
      </c>
      <c r="W114" s="24">
        <f t="shared" ca="1" si="86"/>
        <v>4849.4504149537306</v>
      </c>
      <c r="X114" s="24">
        <f t="shared" ca="1" si="86"/>
        <v>4835.3890456360532</v>
      </c>
      <c r="Y114" s="24">
        <f t="shared" ca="1" si="86"/>
        <v>4822.9344433541482</v>
      </c>
      <c r="Z114" s="24">
        <f t="shared" ca="1" si="86"/>
        <v>4813.5746085061737</v>
      </c>
      <c r="AA114" s="24">
        <f t="shared" ca="1" si="86"/>
        <v>4807.6243153160385</v>
      </c>
      <c r="AB114" s="24">
        <f t="shared" ca="1" si="86"/>
        <v>4806.4066507873076</v>
      </c>
      <c r="AC114" s="24">
        <f t="shared" ca="1" si="86"/>
        <v>4804.8958930872641</v>
      </c>
      <c r="AD114" s="24">
        <f t="shared" ca="1" si="86"/>
        <v>4803.8043880136174</v>
      </c>
      <c r="AE114" s="24">
        <f t="shared" ca="1" si="86"/>
        <v>4806.9449506737055</v>
      </c>
      <c r="AF114" s="24">
        <f t="shared" si="86"/>
        <v>4814.9730883852244</v>
      </c>
      <c r="AG114" s="25">
        <f t="shared" ca="1" si="75"/>
        <v>0.95069592407544923</v>
      </c>
    </row>
    <row r="115" spans="1:33">
      <c r="A115" s="2"/>
      <c r="B115" s="2" t="s">
        <v>51</v>
      </c>
      <c r="C115" s="24">
        <f t="shared" ref="C115:AF115" ca="1" si="87">C33*C$103</f>
        <v>2233.5536572456322</v>
      </c>
      <c r="D115" s="24">
        <f t="shared" ca="1" si="87"/>
        <v>2258.9160838051121</v>
      </c>
      <c r="E115" s="24">
        <f t="shared" ca="1" si="87"/>
        <v>2292.9889376342239</v>
      </c>
      <c r="F115" s="24">
        <f t="shared" ca="1" si="87"/>
        <v>2281.6825054633055</v>
      </c>
      <c r="G115" s="24">
        <f t="shared" ca="1" si="87"/>
        <v>2280.167727037739</v>
      </c>
      <c r="H115" s="24">
        <f t="shared" ca="1" si="87"/>
        <v>2272.9702661492024</v>
      </c>
      <c r="I115" s="24">
        <f t="shared" ca="1" si="87"/>
        <v>2257.2433066298345</v>
      </c>
      <c r="J115" s="24">
        <f t="shared" ca="1" si="87"/>
        <v>2240.9127252225007</v>
      </c>
      <c r="K115" s="24">
        <f t="shared" ca="1" si="87"/>
        <v>2223.0747151876835</v>
      </c>
      <c r="L115" s="24">
        <f t="shared" ca="1" si="87"/>
        <v>2205.1331174790062</v>
      </c>
      <c r="M115" s="24">
        <f t="shared" ca="1" si="87"/>
        <v>2169.7422600120576</v>
      </c>
      <c r="N115" s="24">
        <f t="shared" ca="1" si="87"/>
        <v>2139.1517483506127</v>
      </c>
      <c r="O115" s="24">
        <f t="shared" ca="1" si="87"/>
        <v>2111.488811439775</v>
      </c>
      <c r="P115" s="24">
        <f t="shared" ca="1" si="87"/>
        <v>2082.7297180900687</v>
      </c>
      <c r="Q115" s="24">
        <f t="shared" ca="1" si="87"/>
        <v>2057.026360222766</v>
      </c>
      <c r="R115" s="24">
        <f t="shared" ca="1" si="87"/>
        <v>2032.1517671899924</v>
      </c>
      <c r="S115" s="24">
        <f t="shared" ca="1" si="87"/>
        <v>2012.520325620249</v>
      </c>
      <c r="T115" s="24">
        <f t="shared" ca="1" si="87"/>
        <v>1994.9489374116865</v>
      </c>
      <c r="U115" s="24">
        <f t="shared" ca="1" si="87"/>
        <v>1976.3853555537175</v>
      </c>
      <c r="V115" s="24">
        <f t="shared" ca="1" si="87"/>
        <v>1960.4018574602915</v>
      </c>
      <c r="W115" s="24">
        <f t="shared" ca="1" si="87"/>
        <v>1945.417155761199</v>
      </c>
      <c r="X115" s="24">
        <f t="shared" ca="1" si="87"/>
        <v>1934.7239453997229</v>
      </c>
      <c r="Y115" s="24">
        <f t="shared" ca="1" si="87"/>
        <v>1924.7036663693132</v>
      </c>
      <c r="Z115" s="24">
        <f t="shared" ca="1" si="87"/>
        <v>1913.3501518844323</v>
      </c>
      <c r="AA115" s="24">
        <f t="shared" ca="1" si="87"/>
        <v>1901.7022026343263</v>
      </c>
      <c r="AB115" s="24">
        <f t="shared" ca="1" si="87"/>
        <v>1892.0047909040043</v>
      </c>
      <c r="AC115" s="24">
        <f t="shared" ca="1" si="87"/>
        <v>1879.3229380319783</v>
      </c>
      <c r="AD115" s="24">
        <f t="shared" ca="1" si="87"/>
        <v>1863.9232009342097</v>
      </c>
      <c r="AE115" s="24">
        <f t="shared" ca="1" si="87"/>
        <v>1852.3096580253723</v>
      </c>
      <c r="AF115" s="24">
        <f t="shared" si="87"/>
        <v>1844.6434832562152</v>
      </c>
      <c r="AG115" s="25">
        <f t="shared" ca="1" si="75"/>
        <v>0.8258782936654353</v>
      </c>
    </row>
    <row r="116" spans="1:33">
      <c r="A116" s="2"/>
      <c r="B116" s="2" t="s">
        <v>14</v>
      </c>
      <c r="C116" s="24">
        <f t="shared" ref="C116:AF116" ca="1" si="88">C34*C$103</f>
        <v>386.07437667009248</v>
      </c>
      <c r="D116" s="24">
        <f t="shared" ca="1" si="88"/>
        <v>383.05075047177905</v>
      </c>
      <c r="E116" s="24">
        <f t="shared" ca="1" si="88"/>
        <v>390.45589536981356</v>
      </c>
      <c r="F116" s="24">
        <f t="shared" ca="1" si="88"/>
        <v>393.24883360578167</v>
      </c>
      <c r="G116" s="24">
        <f t="shared" ca="1" si="88"/>
        <v>392.02378640358438</v>
      </c>
      <c r="H116" s="24">
        <f t="shared" ca="1" si="88"/>
        <v>392.24709202242349</v>
      </c>
      <c r="I116" s="24">
        <f t="shared" ca="1" si="88"/>
        <v>393.49661723066299</v>
      </c>
      <c r="J116" s="24">
        <f t="shared" ca="1" si="88"/>
        <v>404.66596128920764</v>
      </c>
      <c r="K116" s="24">
        <f t="shared" ca="1" si="88"/>
        <v>420.18498348036672</v>
      </c>
      <c r="L116" s="24">
        <f t="shared" ca="1" si="88"/>
        <v>431.79571768678034</v>
      </c>
      <c r="M116" s="24">
        <f t="shared" ca="1" si="88"/>
        <v>444.41242192748257</v>
      </c>
      <c r="N116" s="24">
        <f t="shared" ca="1" si="88"/>
        <v>456.83498774740815</v>
      </c>
      <c r="O116" s="24">
        <f t="shared" ca="1" si="88"/>
        <v>469.62737371068107</v>
      </c>
      <c r="P116" s="24">
        <f t="shared" ca="1" si="88"/>
        <v>484.49903451785264</v>
      </c>
      <c r="Q116" s="24">
        <f t="shared" ca="1" si="88"/>
        <v>490.72550333305202</v>
      </c>
      <c r="R116" s="24">
        <f t="shared" ca="1" si="88"/>
        <v>499.43025808076567</v>
      </c>
      <c r="S116" s="24">
        <f t="shared" ca="1" si="88"/>
        <v>510.13459602372399</v>
      </c>
      <c r="T116" s="24">
        <f t="shared" ca="1" si="88"/>
        <v>519.06490416424242</v>
      </c>
      <c r="U116" s="24">
        <f t="shared" ca="1" si="88"/>
        <v>529.33686419650974</v>
      </c>
      <c r="V116" s="24">
        <f t="shared" ca="1" si="88"/>
        <v>541.20510163772531</v>
      </c>
      <c r="W116" s="24">
        <f t="shared" ca="1" si="88"/>
        <v>551.08178748669229</v>
      </c>
      <c r="X116" s="24">
        <f t="shared" ca="1" si="88"/>
        <v>557.66166384157771</v>
      </c>
      <c r="Y116" s="24">
        <f t="shared" ca="1" si="88"/>
        <v>566.79551917930428</v>
      </c>
      <c r="Z116" s="24">
        <f t="shared" ca="1" si="88"/>
        <v>575.07933379065446</v>
      </c>
      <c r="AA116" s="24">
        <f t="shared" ca="1" si="88"/>
        <v>582.27697574492004</v>
      </c>
      <c r="AB116" s="24">
        <f t="shared" ca="1" si="88"/>
        <v>590.56480736951482</v>
      </c>
      <c r="AC116" s="24">
        <f t="shared" ca="1" si="88"/>
        <v>600.63049319863183</v>
      </c>
      <c r="AD116" s="24">
        <f t="shared" ca="1" si="88"/>
        <v>610.88452244477867</v>
      </c>
      <c r="AE116" s="24">
        <f t="shared" ca="1" si="88"/>
        <v>617.3628179024505</v>
      </c>
      <c r="AF116" s="24">
        <f t="shared" si="88"/>
        <v>625.99341581052465</v>
      </c>
      <c r="AG116" s="25">
        <f t="shared" ca="1" si="75"/>
        <v>1.6214321737944482</v>
      </c>
    </row>
    <row r="117" spans="1:33">
      <c r="B117" s="2" t="s">
        <v>44</v>
      </c>
      <c r="C117" s="24">
        <f t="shared" ref="C117:AF117" ca="1" si="89">C35*C$103</f>
        <v>694045.73505549843</v>
      </c>
      <c r="D117" s="24">
        <f t="shared" ca="1" si="89"/>
        <v>953656.3415918682</v>
      </c>
      <c r="E117" s="24">
        <f t="shared" ca="1" si="89"/>
        <v>1255494.4177967529</v>
      </c>
      <c r="F117" s="24">
        <f t="shared" ca="1" si="89"/>
        <v>1590493.8818475436</v>
      </c>
      <c r="G117" s="24">
        <f t="shared" ca="1" si="89"/>
        <v>1949357.4759271068</v>
      </c>
      <c r="H117" s="24">
        <f t="shared" ca="1" si="89"/>
        <v>2331469.2331345407</v>
      </c>
      <c r="I117" s="24">
        <f t="shared" ca="1" si="89"/>
        <v>2722252.3062952347</v>
      </c>
      <c r="J117" s="24">
        <f t="shared" ca="1" si="89"/>
        <v>3112965.1873547048</v>
      </c>
      <c r="K117" s="24">
        <f t="shared" ca="1" si="89"/>
        <v>3509160.7604112611</v>
      </c>
      <c r="L117" s="24">
        <f t="shared" ca="1" si="89"/>
        <v>3913194.7357397629</v>
      </c>
      <c r="M117" s="24">
        <f t="shared" ca="1" si="89"/>
        <v>4295022.3250046503</v>
      </c>
      <c r="N117" s="24">
        <f t="shared" ca="1" si="89"/>
        <v>4668459.5911319507</v>
      </c>
      <c r="O117" s="24">
        <f t="shared" ca="1" si="89"/>
        <v>5041827.4035355039</v>
      </c>
      <c r="P117" s="24">
        <f t="shared" ca="1" si="89"/>
        <v>5414948.6541150026</v>
      </c>
      <c r="Q117" s="24">
        <f t="shared" ca="1" si="89"/>
        <v>5782489.7836996885</v>
      </c>
      <c r="R117" s="24">
        <f t="shared" ca="1" si="89"/>
        <v>6148503.5533389309</v>
      </c>
      <c r="S117" s="24">
        <f t="shared" ca="1" si="89"/>
        <v>6514724.7794057308</v>
      </c>
      <c r="T117" s="24">
        <f t="shared" ca="1" si="89"/>
        <v>6879836.4090985786</v>
      </c>
      <c r="U117" s="24">
        <f t="shared" ca="1" si="89"/>
        <v>7243289.9949972704</v>
      </c>
      <c r="V117" s="24">
        <f t="shared" ca="1" si="89"/>
        <v>7605675.4964529676</v>
      </c>
      <c r="W117" s="24">
        <f t="shared" ca="1" si="89"/>
        <v>7960976.5282948157</v>
      </c>
      <c r="X117" s="24">
        <f t="shared" ca="1" si="89"/>
        <v>8311507.72098199</v>
      </c>
      <c r="Y117" s="24">
        <f t="shared" ca="1" si="89"/>
        <v>8663320.5940205175</v>
      </c>
      <c r="Z117" s="24">
        <f t="shared" ca="1" si="89"/>
        <v>9019042.8466779906</v>
      </c>
      <c r="AA117" s="24">
        <f t="shared" ca="1" si="89"/>
        <v>9365006.2860212028</v>
      </c>
      <c r="AB117" s="24">
        <f t="shared" ca="1" si="89"/>
        <v>9710802.0266555026</v>
      </c>
      <c r="AC117" s="24">
        <f t="shared" ca="1" si="89"/>
        <v>10050293.384850927</v>
      </c>
      <c r="AD117" s="24">
        <f t="shared" ca="1" si="89"/>
        <v>10384272.133079724</v>
      </c>
      <c r="AE117" s="24">
        <f t="shared" ca="1" si="89"/>
        <v>10720389.919523127</v>
      </c>
      <c r="AF117" s="24">
        <f t="shared" si="89"/>
        <v>11059755.484797271</v>
      </c>
      <c r="AG117" s="25">
        <f ca="1">AF117/D117</f>
        <v>11.597212751016825</v>
      </c>
    </row>
    <row r="118" spans="1:33">
      <c r="A118" s="21"/>
    </row>
    <row r="119" spans="1:33">
      <c r="B119" s="23" t="s">
        <v>61</v>
      </c>
      <c r="C119" s="23">
        <v>2021</v>
      </c>
      <c r="D119" s="23">
        <v>2022</v>
      </c>
      <c r="E119" s="23">
        <v>2023</v>
      </c>
      <c r="F119" s="23">
        <v>2024</v>
      </c>
      <c r="G119" s="23">
        <v>2025</v>
      </c>
      <c r="H119" s="23">
        <v>2026</v>
      </c>
      <c r="I119" s="23">
        <v>2027</v>
      </c>
      <c r="J119" s="23">
        <v>2028</v>
      </c>
      <c r="K119" s="23">
        <v>2029</v>
      </c>
      <c r="L119" s="23">
        <v>2030</v>
      </c>
      <c r="M119" s="23">
        <v>2031</v>
      </c>
      <c r="N119" s="23">
        <v>2032</v>
      </c>
      <c r="O119" s="23">
        <v>2033</v>
      </c>
      <c r="P119" s="23">
        <v>2034</v>
      </c>
      <c r="Q119" s="23">
        <v>2035</v>
      </c>
      <c r="R119" s="23">
        <v>2036</v>
      </c>
      <c r="S119" s="23">
        <v>2037</v>
      </c>
      <c r="T119" s="23">
        <v>2038</v>
      </c>
      <c r="U119" s="23">
        <v>2039</v>
      </c>
      <c r="V119" s="23">
        <v>2040</v>
      </c>
      <c r="W119" s="23">
        <v>2041</v>
      </c>
      <c r="X119" s="23">
        <v>2042</v>
      </c>
      <c r="Y119" s="23">
        <v>2043</v>
      </c>
      <c r="Z119" s="23">
        <v>2044</v>
      </c>
      <c r="AA119" s="23">
        <v>2045</v>
      </c>
      <c r="AB119" s="23">
        <v>2046</v>
      </c>
      <c r="AC119" s="23">
        <v>2047</v>
      </c>
      <c r="AD119" s="23">
        <v>2048</v>
      </c>
      <c r="AE119" s="23">
        <v>2049</v>
      </c>
      <c r="AF119" s="23">
        <v>2050</v>
      </c>
    </row>
    <row r="120" spans="1:33">
      <c r="A120" s="2" t="s">
        <v>43</v>
      </c>
      <c r="B120" s="2" t="s">
        <v>44</v>
      </c>
      <c r="C120" s="9"/>
      <c r="D120" s="27">
        <f t="shared" ref="D120:AF120" ca="1" si="90">(D104-C104)/D104</f>
        <v>-3.6496060059077386E-2</v>
      </c>
      <c r="E120" s="27">
        <f t="shared" ca="1" si="90"/>
        <v>4.3456937413980296E-2</v>
      </c>
      <c r="F120" s="27">
        <f t="shared" ca="1" si="90"/>
        <v>1.127687766446973E-2</v>
      </c>
      <c r="G120" s="27">
        <f t="shared" ca="1" si="90"/>
        <v>9.5372646701986832E-3</v>
      </c>
      <c r="H120" s="27">
        <f t="shared" ca="1" si="90"/>
        <v>7.2423547498654105E-3</v>
      </c>
      <c r="I120" s="27">
        <f t="shared" ca="1" si="90"/>
        <v>6.2409501080293427E-3</v>
      </c>
      <c r="J120" s="27">
        <f t="shared" ca="1" si="90"/>
        <v>6.268875564139487E-3</v>
      </c>
      <c r="K120" s="27">
        <f t="shared" ca="1" si="90"/>
        <v>6.6529923693295851E-3</v>
      </c>
      <c r="L120" s="27">
        <f t="shared" ca="1" si="90"/>
        <v>4.658381609084993E-3</v>
      </c>
      <c r="M120" s="27">
        <f t="shared" ca="1" si="90"/>
        <v>-1.4427554128089398E-3</v>
      </c>
      <c r="N120" s="27">
        <f t="shared" ca="1" si="90"/>
        <v>-5.0152914770317837E-4</v>
      </c>
      <c r="O120" s="27">
        <f t="shared" ca="1" si="90"/>
        <v>6.8449245699874037E-4</v>
      </c>
      <c r="P120" s="27">
        <f t="shared" ca="1" si="90"/>
        <v>1.715819244122256E-3</v>
      </c>
      <c r="Q120" s="27">
        <f t="shared" ca="1" si="90"/>
        <v>2.4787209102555808E-3</v>
      </c>
      <c r="R120" s="27">
        <f t="shared" ca="1" si="90"/>
        <v>2.6807723707941477E-3</v>
      </c>
      <c r="S120" s="27">
        <f t="shared" ca="1" si="90"/>
        <v>3.4078687587158069E-3</v>
      </c>
      <c r="T120" s="27">
        <f t="shared" ca="1" si="90"/>
        <v>3.3640309549454418E-3</v>
      </c>
      <c r="U120" s="27">
        <f t="shared" ca="1" si="90"/>
        <v>3.2186588917328951E-3</v>
      </c>
      <c r="V120" s="27">
        <f t="shared" ca="1" si="90"/>
        <v>2.4171183767982135E-3</v>
      </c>
      <c r="W120" s="27">
        <f t="shared" ca="1" si="90"/>
        <v>2.0610786278919806E-3</v>
      </c>
      <c r="X120" s="27">
        <f t="shared" ca="1" si="90"/>
        <v>2.8700698055662294E-3</v>
      </c>
      <c r="Y120" s="27">
        <f t="shared" ca="1" si="90"/>
        <v>3.4382245077210463E-3</v>
      </c>
      <c r="Z120" s="27">
        <f t="shared" ca="1" si="90"/>
        <v>4.1252472680436067E-3</v>
      </c>
      <c r="AA120" s="27">
        <f t="shared" ca="1" si="90"/>
        <v>4.4285058863895747E-3</v>
      </c>
      <c r="AB120" s="27">
        <f t="shared" ca="1" si="90"/>
        <v>4.7120685308719469E-3</v>
      </c>
      <c r="AC120" s="27">
        <f t="shared" ca="1" si="90"/>
        <v>4.7446659095076822E-3</v>
      </c>
      <c r="AD120" s="27">
        <f t="shared" ca="1" si="90"/>
        <v>5.3665366766384127E-3</v>
      </c>
      <c r="AE120" s="27">
        <f t="shared" ca="1" si="90"/>
        <v>5.9981898752907064E-3</v>
      </c>
      <c r="AF120" s="27">
        <f t="shared" ca="1" si="90"/>
        <v>6.5851631711337762E-3</v>
      </c>
    </row>
    <row r="121" spans="1:33">
      <c r="A121" s="2"/>
      <c r="B121" s="2" t="s">
        <v>14</v>
      </c>
      <c r="C121" s="9"/>
      <c r="D121" s="27">
        <f t="shared" ref="D121:AF121" ca="1" si="91">(D105-C105)/D105</f>
        <v>-3.2786667506431486E-2</v>
      </c>
      <c r="E121" s="27">
        <f t="shared" ca="1" si="91"/>
        <v>9.3597262220547831E-2</v>
      </c>
      <c r="F121" s="27">
        <f t="shared" ca="1" si="91"/>
        <v>8.286774981492176E-3</v>
      </c>
      <c r="G121" s="27">
        <f t="shared" ca="1" si="91"/>
        <v>5.9356974089786489E-3</v>
      </c>
      <c r="H121" s="27">
        <f t="shared" ca="1" si="91"/>
        <v>8.2767559270159781E-4</v>
      </c>
      <c r="I121" s="27">
        <f t="shared" ca="1" si="91"/>
        <v>-1.4154993831184638E-3</v>
      </c>
      <c r="J121" s="27">
        <f t="shared" ca="1" si="91"/>
        <v>-2.8346692587059943E-3</v>
      </c>
      <c r="K121" s="27">
        <f t="shared" ca="1" si="91"/>
        <v>-4.0601205897500114E-3</v>
      </c>
      <c r="L121" s="27">
        <f t="shared" ca="1" si="91"/>
        <v>-3.1827020243580337E-3</v>
      </c>
      <c r="M121" s="27">
        <f t="shared" ca="1" si="91"/>
        <v>-8.9811746455924334E-3</v>
      </c>
      <c r="N121" s="27">
        <f t="shared" ca="1" si="91"/>
        <v>-8.0892497617294518E-3</v>
      </c>
      <c r="O121" s="27">
        <f t="shared" ca="1" si="91"/>
        <v>-8.2497023610358291E-3</v>
      </c>
      <c r="P121" s="27">
        <f t="shared" ca="1" si="91"/>
        <v>-7.5499505640853493E-3</v>
      </c>
      <c r="Q121" s="27">
        <f t="shared" ca="1" si="91"/>
        <v>-6.6105926192296235E-3</v>
      </c>
      <c r="R121" s="27">
        <f t="shared" ca="1" si="91"/>
        <v>-6.3789355891889386E-3</v>
      </c>
      <c r="S121" s="27">
        <f t="shared" ca="1" si="91"/>
        <v>-6.6361949733047482E-3</v>
      </c>
      <c r="T121" s="27">
        <f t="shared" ca="1" si="91"/>
        <v>-6.6577016966753496E-3</v>
      </c>
      <c r="U121" s="27">
        <f t="shared" ca="1" si="91"/>
        <v>-6.4873436371862599E-3</v>
      </c>
      <c r="V121" s="27">
        <f t="shared" ca="1" si="91"/>
        <v>-6.1925012194377878E-3</v>
      </c>
      <c r="W121" s="27">
        <f t="shared" ca="1" si="91"/>
        <v>-6.0585291505770109E-3</v>
      </c>
      <c r="X121" s="27">
        <f t="shared" ca="1" si="91"/>
        <v>-5.9719703550842346E-3</v>
      </c>
      <c r="Y121" s="27">
        <f t="shared" ca="1" si="91"/>
        <v>-5.956126830710843E-3</v>
      </c>
      <c r="Z121" s="27">
        <f t="shared" ca="1" si="91"/>
        <v>-5.4426672039427307E-3</v>
      </c>
      <c r="AA121" s="27">
        <f t="shared" ca="1" si="91"/>
        <v>-5.6655529782849547E-3</v>
      </c>
      <c r="AB121" s="27">
        <f t="shared" ca="1" si="91"/>
        <v>-5.8000639409597791E-3</v>
      </c>
      <c r="AC121" s="27">
        <f t="shared" ca="1" si="91"/>
        <v>-5.9554947683828942E-3</v>
      </c>
      <c r="AD121" s="27">
        <f t="shared" ca="1" si="91"/>
        <v>-6.0403276753452631E-3</v>
      </c>
      <c r="AE121" s="27">
        <f t="shared" ca="1" si="91"/>
        <v>-6.2149572314751864E-3</v>
      </c>
      <c r="AF121" s="27">
        <f t="shared" ca="1" si="91"/>
        <v>-6.3341730349511498E-3</v>
      </c>
    </row>
    <row r="122" spans="1:33">
      <c r="A122" s="2" t="s">
        <v>45</v>
      </c>
      <c r="B122" s="2" t="s">
        <v>44</v>
      </c>
      <c r="C122" s="9"/>
      <c r="D122" s="27">
        <f t="shared" ref="D122:AF122" ca="1" si="92">(D106-C106)/D106</f>
        <v>9.1651713978564923E-3</v>
      </c>
      <c r="E122" s="27">
        <f t="shared" ca="1" si="92"/>
        <v>9.5404531270812613E-3</v>
      </c>
      <c r="F122" s="27">
        <f t="shared" ca="1" si="92"/>
        <v>3.8746236825307023E-3</v>
      </c>
      <c r="G122" s="27">
        <f t="shared" ca="1" si="92"/>
        <v>4.1575568208895705E-3</v>
      </c>
      <c r="H122" s="27">
        <f t="shared" ca="1" si="92"/>
        <v>8.6473179477790352E-4</v>
      </c>
      <c r="I122" s="27">
        <f t="shared" ca="1" si="92"/>
        <v>3.9835001931195525E-3</v>
      </c>
      <c r="J122" s="27">
        <f t="shared" ca="1" si="92"/>
        <v>3.5026454317232999E-3</v>
      </c>
      <c r="K122" s="27">
        <f t="shared" ca="1" si="92"/>
        <v>3.8269409729712591E-3</v>
      </c>
      <c r="L122" s="27">
        <f t="shared" ca="1" si="92"/>
        <v>8.7006227985773074E-4</v>
      </c>
      <c r="M122" s="27">
        <f t="shared" ca="1" si="92"/>
        <v>-3.4230187209250418E-3</v>
      </c>
      <c r="N122" s="27">
        <f t="shared" ca="1" si="92"/>
        <v>-2.2071207822516752E-3</v>
      </c>
      <c r="O122" s="27">
        <f t="shared" ca="1" si="92"/>
        <v>-6.5687227461615086E-4</v>
      </c>
      <c r="P122" s="27">
        <f t="shared" ca="1" si="92"/>
        <v>5.8558749409712318E-4</v>
      </c>
      <c r="Q122" s="27">
        <f t="shared" ca="1" si="92"/>
        <v>1.2276421018234159E-3</v>
      </c>
      <c r="R122" s="27">
        <f t="shared" ca="1" si="92"/>
        <v>1.30934554309214E-3</v>
      </c>
      <c r="S122" s="27">
        <f t="shared" ca="1" si="92"/>
        <v>1.6502228497874453E-3</v>
      </c>
      <c r="T122" s="27">
        <f t="shared" ca="1" si="92"/>
        <v>1.9542784302308096E-3</v>
      </c>
      <c r="U122" s="27">
        <f t="shared" ca="1" si="92"/>
        <v>1.3811671588647514E-3</v>
      </c>
      <c r="V122" s="27">
        <f t="shared" ca="1" si="92"/>
        <v>6.0009263147643764E-4</v>
      </c>
      <c r="W122" s="27">
        <f t="shared" ca="1" si="92"/>
        <v>1.8386305191211716E-3</v>
      </c>
      <c r="X122" s="27">
        <f t="shared" ca="1" si="92"/>
        <v>2.8998739673691087E-3</v>
      </c>
      <c r="Y122" s="27">
        <f t="shared" ca="1" si="92"/>
        <v>3.5149391881014861E-3</v>
      </c>
      <c r="Z122" s="27">
        <f t="shared" ca="1" si="92"/>
        <v>3.6017751352074461E-3</v>
      </c>
      <c r="AA122" s="27">
        <f t="shared" ca="1" si="92"/>
        <v>4.1288140797343118E-3</v>
      </c>
      <c r="AB122" s="27">
        <f t="shared" ca="1" si="92"/>
        <v>3.1854382368767674E-3</v>
      </c>
      <c r="AC122" s="27">
        <f t="shared" ca="1" si="92"/>
        <v>4.0337787702936761E-3</v>
      </c>
      <c r="AD122" s="27">
        <f t="shared" ca="1" si="92"/>
        <v>4.11377809721678E-3</v>
      </c>
      <c r="AE122" s="27">
        <f t="shared" ca="1" si="92"/>
        <v>5.1882560362254441E-3</v>
      </c>
      <c r="AF122" s="27">
        <f t="shared" ca="1" si="92"/>
        <v>5.4936090112597804E-3</v>
      </c>
    </row>
    <row r="123" spans="1:33">
      <c r="A123" s="2"/>
      <c r="B123" s="2" t="s">
        <v>14</v>
      </c>
      <c r="C123" s="9"/>
      <c r="D123" s="27">
        <f t="shared" ref="D123:AF123" ca="1" si="93">(D107-C107)/D107</f>
        <v>3.6281440762388026E-2</v>
      </c>
      <c r="E123" s="27">
        <f t="shared" ca="1" si="93"/>
        <v>-1.08481732941304E-2</v>
      </c>
      <c r="F123" s="27">
        <f t="shared" ca="1" si="93"/>
        <v>6.5541035061757848E-3</v>
      </c>
      <c r="G123" s="27">
        <f t="shared" ca="1" si="93"/>
        <v>8.7820933745782082E-3</v>
      </c>
      <c r="H123" s="27">
        <f t="shared" ca="1" si="93"/>
        <v>4.69918297515611E-3</v>
      </c>
      <c r="I123" s="27">
        <f t="shared" ca="1" si="93"/>
        <v>8.1947585938393248E-3</v>
      </c>
      <c r="J123" s="27">
        <f t="shared" ca="1" si="93"/>
        <v>3.9573793015243884E-3</v>
      </c>
      <c r="K123" s="27">
        <f t="shared" ca="1" si="93"/>
        <v>4.8503334989921144E-4</v>
      </c>
      <c r="L123" s="27">
        <f t="shared" ca="1" si="93"/>
        <v>1.1521702184769873E-3</v>
      </c>
      <c r="M123" s="27">
        <f t="shared" ca="1" si="93"/>
        <v>-3.4359860545346201E-3</v>
      </c>
      <c r="N123" s="27">
        <f t="shared" ca="1" si="93"/>
        <v>-2.0720958985801091E-3</v>
      </c>
      <c r="O123" s="27">
        <f t="shared" ca="1" si="93"/>
        <v>-2.7813320361986071E-3</v>
      </c>
      <c r="P123" s="27">
        <f t="shared" ca="1" si="93"/>
        <v>-1.8246476047862523E-3</v>
      </c>
      <c r="Q123" s="27">
        <f t="shared" ca="1" si="93"/>
        <v>-6.0508522642690218E-4</v>
      </c>
      <c r="R123" s="27">
        <f t="shared" ca="1" si="93"/>
        <v>-7.5227887997266808E-4</v>
      </c>
      <c r="S123" s="27">
        <f t="shared" ca="1" si="93"/>
        <v>-1.7846773529309158E-3</v>
      </c>
      <c r="T123" s="27">
        <f t="shared" ca="1" si="93"/>
        <v>-2.3247027402810145E-3</v>
      </c>
      <c r="U123" s="27">
        <f t="shared" ca="1" si="93"/>
        <v>-2.4811388021376054E-3</v>
      </c>
      <c r="V123" s="27">
        <f t="shared" ca="1" si="93"/>
        <v>-2.4863710481603041E-3</v>
      </c>
      <c r="W123" s="27">
        <f t="shared" ca="1" si="93"/>
        <v>-2.2535709714347476E-3</v>
      </c>
      <c r="X123" s="27">
        <f t="shared" ca="1" si="93"/>
        <v>-2.0858620837598961E-3</v>
      </c>
      <c r="Y123" s="27">
        <f t="shared" ca="1" si="93"/>
        <v>-2.1186164298482406E-3</v>
      </c>
      <c r="Z123" s="27">
        <f t="shared" ca="1" si="93"/>
        <v>-1.491496177243639E-3</v>
      </c>
      <c r="AA123" s="27">
        <f t="shared" ca="1" si="93"/>
        <v>-1.692417699505417E-3</v>
      </c>
      <c r="AB123" s="27">
        <f t="shared" ca="1" si="93"/>
        <v>-1.9582270261664521E-3</v>
      </c>
      <c r="AC123" s="27">
        <f t="shared" ca="1" si="93"/>
        <v>-2.2296501436765981E-3</v>
      </c>
      <c r="AD123" s="27">
        <f t="shared" ca="1" si="93"/>
        <v>-2.3282957834366387E-3</v>
      </c>
      <c r="AE123" s="27">
        <f t="shared" ca="1" si="93"/>
        <v>-2.6005658259986523E-3</v>
      </c>
      <c r="AF123" s="27">
        <f t="shared" ca="1" si="93"/>
        <v>-2.7922757935354985E-3</v>
      </c>
    </row>
    <row r="124" spans="1:33">
      <c r="A124" s="2"/>
      <c r="B124" s="2" t="s">
        <v>46</v>
      </c>
      <c r="C124" s="9"/>
      <c r="D124" s="27">
        <f t="shared" ref="D124:AF124" ca="1" si="94">(D108-C108)/D108</f>
        <v>7.2189804210985474E-3</v>
      </c>
      <c r="E124" s="27">
        <f t="shared" ca="1" si="94"/>
        <v>1.4756461107663418E-2</v>
      </c>
      <c r="F124" s="27">
        <f t="shared" ca="1" si="94"/>
        <v>4.9716518313841756E-3</v>
      </c>
      <c r="G124" s="27">
        <f t="shared" ca="1" si="94"/>
        <v>7.4002061714847668E-3</v>
      </c>
      <c r="H124" s="27">
        <f t="shared" ca="1" si="94"/>
        <v>5.518315140972555E-3</v>
      </c>
      <c r="I124" s="27">
        <f t="shared" ca="1" si="94"/>
        <v>7.3075290103996517E-3</v>
      </c>
      <c r="J124" s="27">
        <f t="shared" ca="1" si="94"/>
        <v>4.8525089527400025E-3</v>
      </c>
      <c r="K124" s="27">
        <f t="shared" ca="1" si="94"/>
        <v>4.7154680896624593E-3</v>
      </c>
      <c r="L124" s="27">
        <f t="shared" ca="1" si="94"/>
        <v>3.1006594764697477E-3</v>
      </c>
      <c r="M124" s="27">
        <f t="shared" ca="1" si="94"/>
        <v>-1.7465465986294827E-3</v>
      </c>
      <c r="N124" s="27">
        <f t="shared" ca="1" si="94"/>
        <v>-1.5993802411345419E-3</v>
      </c>
      <c r="O124" s="27">
        <f t="shared" ca="1" si="94"/>
        <v>-6.7893913666725156E-4</v>
      </c>
      <c r="P124" s="27">
        <f t="shared" ca="1" si="94"/>
        <v>-1.1784674926495606E-3</v>
      </c>
      <c r="Q124" s="27">
        <f t="shared" ca="1" si="94"/>
        <v>-5.1908179035133832E-4</v>
      </c>
      <c r="R124" s="27">
        <f t="shared" ca="1" si="94"/>
        <v>-1.1463344900529378E-3</v>
      </c>
      <c r="S124" s="27">
        <f t="shared" ca="1" si="94"/>
        <v>-1.0661003375502843E-3</v>
      </c>
      <c r="T124" s="27">
        <f t="shared" ca="1" si="94"/>
        <v>-1.6273690890756243E-3</v>
      </c>
      <c r="U124" s="27">
        <f t="shared" ca="1" si="94"/>
        <v>-7.4486221020579922E-5</v>
      </c>
      <c r="V124" s="27">
        <f t="shared" ca="1" si="94"/>
        <v>-1.4034953690931816E-3</v>
      </c>
      <c r="W124" s="27">
        <f t="shared" ca="1" si="94"/>
        <v>-6.8510498131699573E-4</v>
      </c>
      <c r="X124" s="27">
        <f t="shared" ca="1" si="94"/>
        <v>-2.2501279868075016E-4</v>
      </c>
      <c r="Y124" s="27">
        <f t="shared" ca="1" si="94"/>
        <v>-1.2941438569735329E-3</v>
      </c>
      <c r="Z124" s="27">
        <f t="shared" ca="1" si="94"/>
        <v>-1.342614973401394E-3</v>
      </c>
      <c r="AA124" s="27">
        <f t="shared" ca="1" si="94"/>
        <v>-5.0129563029646467E-4</v>
      </c>
      <c r="AB124" s="27">
        <f t="shared" ca="1" si="94"/>
        <v>-1.1861891037677603E-3</v>
      </c>
      <c r="AC124" s="27">
        <f t="shared" ca="1" si="94"/>
        <v>-1.5761628635810519E-4</v>
      </c>
      <c r="AD124" s="27">
        <f t="shared" ca="1" si="94"/>
        <v>2.3307249133935098E-4</v>
      </c>
      <c r="AE124" s="27">
        <f t="shared" ca="1" si="94"/>
        <v>5.3971074253282825E-5</v>
      </c>
      <c r="AF124" s="27">
        <f t="shared" ca="1" si="94"/>
        <v>6.4581051452631812E-5</v>
      </c>
    </row>
    <row r="125" spans="1:33">
      <c r="A125" s="2"/>
      <c r="B125" s="2" t="s">
        <v>47</v>
      </c>
      <c r="C125" s="28"/>
      <c r="D125" s="27">
        <f t="shared" ref="D125:AF125" ca="1" si="95">(D109-C109)/D109</f>
        <v>3.5118613037272643E-2</v>
      </c>
      <c r="E125" s="27">
        <f t="shared" ca="1" si="95"/>
        <v>5.5405623170169442E-2</v>
      </c>
      <c r="F125" s="27">
        <f t="shared" ca="1" si="95"/>
        <v>-7.5819029315787715E-4</v>
      </c>
      <c r="G125" s="27">
        <f t="shared" ca="1" si="95"/>
        <v>5.3249443783507115E-4</v>
      </c>
      <c r="H125" s="27">
        <f t="shared" ca="1" si="95"/>
        <v>6.3622167561385974E-4</v>
      </c>
      <c r="I125" s="27">
        <f t="shared" ca="1" si="95"/>
        <v>1.1839474445359066E-2</v>
      </c>
      <c r="J125" s="27">
        <f t="shared" ca="1" si="95"/>
        <v>5.6007326248662228E-3</v>
      </c>
      <c r="K125" s="27">
        <f t="shared" ca="1" si="95"/>
        <v>1.845741593899798E-3</v>
      </c>
      <c r="L125" s="27">
        <f t="shared" ca="1" si="95"/>
        <v>1.4507503223556268E-3</v>
      </c>
      <c r="M125" s="27">
        <f t="shared" ca="1" si="95"/>
        <v>-5.673880647313014E-3</v>
      </c>
      <c r="N125" s="27">
        <f t="shared" ca="1" si="95"/>
        <v>-5.6672135894647677E-3</v>
      </c>
      <c r="O125" s="27">
        <f t="shared" ca="1" si="95"/>
        <v>-5.4009241365160603E-3</v>
      </c>
      <c r="P125" s="27">
        <f t="shared" ca="1" si="95"/>
        <v>-4.611703526868868E-3</v>
      </c>
      <c r="Q125" s="27">
        <f t="shared" ca="1" si="95"/>
        <v>-4.8608191006190337E-3</v>
      </c>
      <c r="R125" s="27">
        <f t="shared" ca="1" si="95"/>
        <v>-5.4397703512921447E-3</v>
      </c>
      <c r="S125" s="27">
        <f t="shared" ca="1" si="95"/>
        <v>-6.6176399200603723E-3</v>
      </c>
      <c r="T125" s="27">
        <f t="shared" ca="1" si="95"/>
        <v>-6.3559300383514428E-3</v>
      </c>
      <c r="U125" s="27">
        <f t="shared" ca="1" si="95"/>
        <v>-5.4942319092553217E-3</v>
      </c>
      <c r="V125" s="27">
        <f t="shared" ca="1" si="95"/>
        <v>-6.0881033831071988E-3</v>
      </c>
      <c r="W125" s="27">
        <f t="shared" ca="1" si="95"/>
        <v>-5.8201491229490088E-3</v>
      </c>
      <c r="X125" s="27">
        <f t="shared" ca="1" si="95"/>
        <v>-4.9465032584079449E-3</v>
      </c>
      <c r="Y125" s="27">
        <f t="shared" ca="1" si="95"/>
        <v>-5.9471816409564712E-3</v>
      </c>
      <c r="Z125" s="27">
        <f t="shared" ca="1" si="95"/>
        <v>-6.9608906581094861E-3</v>
      </c>
      <c r="AA125" s="27">
        <f t="shared" ca="1" si="95"/>
        <v>-6.5614662705105152E-3</v>
      </c>
      <c r="AB125" s="27">
        <f t="shared" ca="1" si="95"/>
        <v>-6.2252935769868106E-3</v>
      </c>
      <c r="AC125" s="27">
        <f t="shared" ca="1" si="95"/>
        <v>-5.3377461210496737E-3</v>
      </c>
      <c r="AD125" s="27">
        <f t="shared" ca="1" si="95"/>
        <v>-4.3053790138706605E-3</v>
      </c>
      <c r="AE125" s="27">
        <f t="shared" ca="1" si="95"/>
        <v>-3.7469572376488684E-3</v>
      </c>
      <c r="AF125" s="27">
        <f t="shared" ca="1" si="95"/>
        <v>-3.3233756978386228E-3</v>
      </c>
    </row>
    <row r="126" spans="1:33">
      <c r="A126" s="2" t="s">
        <v>48</v>
      </c>
      <c r="B126" s="2" t="s">
        <v>44</v>
      </c>
      <c r="C126" s="9"/>
      <c r="D126" s="27">
        <f t="shared" ref="D126:AF126" ca="1" si="96">(D110-C110)/D110</f>
        <v>2.9618609672733116E-2</v>
      </c>
      <c r="E126" s="27">
        <f t="shared" ca="1" si="96"/>
        <v>3.1327826251073582E-2</v>
      </c>
      <c r="F126" s="27">
        <f t="shared" ca="1" si="96"/>
        <v>5.4117846875279254E-3</v>
      </c>
      <c r="G126" s="27">
        <f t="shared" ca="1" si="96"/>
        <v>1.2894964353886196E-2</v>
      </c>
      <c r="H126" s="27">
        <f t="shared" ca="1" si="96"/>
        <v>1.3134954017613014E-2</v>
      </c>
      <c r="I126" s="27">
        <f t="shared" ca="1" si="96"/>
        <v>6.7286585003553763E-3</v>
      </c>
      <c r="J126" s="27">
        <f t="shared" ca="1" si="96"/>
        <v>6.1798268273534056E-3</v>
      </c>
      <c r="K126" s="27">
        <f t="shared" ca="1" si="96"/>
        <v>9.7084627357221977E-3</v>
      </c>
      <c r="L126" s="27">
        <f t="shared" ca="1" si="96"/>
        <v>6.4747709420498057E-3</v>
      </c>
      <c r="M126" s="27">
        <f t="shared" ca="1" si="96"/>
        <v>1.6033785787729446E-3</v>
      </c>
      <c r="N126" s="27">
        <f t="shared" ca="1" si="96"/>
        <v>2.3715966503203992E-3</v>
      </c>
      <c r="O126" s="27">
        <f t="shared" ca="1" si="96"/>
        <v>1.3869443124664884E-3</v>
      </c>
      <c r="P126" s="27">
        <f t="shared" ca="1" si="96"/>
        <v>8.4392319101580485E-4</v>
      </c>
      <c r="Q126" s="27">
        <f t="shared" ca="1" si="96"/>
        <v>1.6054052285045773E-3</v>
      </c>
      <c r="R126" s="27">
        <f t="shared" ca="1" si="96"/>
        <v>1.6154837217404049E-3</v>
      </c>
      <c r="S126" s="27">
        <f t="shared" ca="1" si="96"/>
        <v>3.838697909669109E-3</v>
      </c>
      <c r="T126" s="27">
        <f t="shared" ca="1" si="96"/>
        <v>2.8960079852043208E-3</v>
      </c>
      <c r="U126" s="27">
        <f t="shared" ca="1" si="96"/>
        <v>1.9511087900780501E-3</v>
      </c>
      <c r="V126" s="27">
        <f t="shared" ca="1" si="96"/>
        <v>9.1609274715930434E-4</v>
      </c>
      <c r="W126" s="27">
        <f t="shared" ca="1" si="96"/>
        <v>3.1389776883283928E-3</v>
      </c>
      <c r="X126" s="27">
        <f t="shared" ca="1" si="96"/>
        <v>4.6002068216240968E-3</v>
      </c>
      <c r="Y126" s="27">
        <f t="shared" ca="1" si="96"/>
        <v>3.7027917579053439E-3</v>
      </c>
      <c r="Z126" s="27">
        <f t="shared" ca="1" si="96"/>
        <v>2.2888428437017388E-3</v>
      </c>
      <c r="AA126" s="27">
        <f t="shared" ca="1" si="96"/>
        <v>2.8525118339205956E-3</v>
      </c>
      <c r="AB126" s="27">
        <f t="shared" ca="1" si="96"/>
        <v>3.283357809114248E-3</v>
      </c>
      <c r="AC126" s="27">
        <f t="shared" ca="1" si="96"/>
        <v>8.7195258561424303E-4</v>
      </c>
      <c r="AD126" s="27">
        <f t="shared" ca="1" si="96"/>
        <v>-5.0435553574214417E-4</v>
      </c>
      <c r="AE126" s="27">
        <f t="shared" ca="1" si="96"/>
        <v>1.6281737764165844E-3</v>
      </c>
      <c r="AF126" s="27">
        <f t="shared" ca="1" si="96"/>
        <v>5.2890967980713027E-3</v>
      </c>
    </row>
    <row r="127" spans="1:33">
      <c r="A127" s="2"/>
      <c r="B127" s="2" t="s">
        <v>14</v>
      </c>
      <c r="C127" s="9"/>
      <c r="D127" s="27">
        <f t="shared" ref="D127:AF127" ca="1" si="97">(D111-C111)/D111</f>
        <v>2.5271386029722835E-2</v>
      </c>
      <c r="E127" s="27">
        <f t="shared" ca="1" si="97"/>
        <v>3.9415940028398849E-2</v>
      </c>
      <c r="F127" s="27">
        <f t="shared" ca="1" si="97"/>
        <v>4.5176563655270063E-3</v>
      </c>
      <c r="G127" s="27">
        <f t="shared" ca="1" si="97"/>
        <v>7.7895822781776413E-3</v>
      </c>
      <c r="H127" s="27">
        <f t="shared" ca="1" si="97"/>
        <v>1.3169599546544208E-2</v>
      </c>
      <c r="I127" s="27">
        <f t="shared" ca="1" si="97"/>
        <v>7.7329784628872328E-4</v>
      </c>
      <c r="J127" s="27">
        <f t="shared" ca="1" si="97"/>
        <v>1.3877006641900809E-3</v>
      </c>
      <c r="K127" s="27">
        <f t="shared" ca="1" si="97"/>
        <v>5.2128138660549684E-3</v>
      </c>
      <c r="L127" s="27">
        <f t="shared" ca="1" si="97"/>
        <v>5.7877692272728463E-3</v>
      </c>
      <c r="M127" s="27">
        <f t="shared" ca="1" si="97"/>
        <v>-1.9021928203564803E-3</v>
      </c>
      <c r="N127" s="27">
        <f t="shared" ca="1" si="97"/>
        <v>1.6522430243663779E-3</v>
      </c>
      <c r="O127" s="27">
        <f t="shared" ca="1" si="97"/>
        <v>-1.9989483881016224E-3</v>
      </c>
      <c r="P127" s="27">
        <f t="shared" ca="1" si="97"/>
        <v>-1.4585074995474448E-3</v>
      </c>
      <c r="Q127" s="27">
        <f t="shared" ca="1" si="97"/>
        <v>1.865114380460957E-3</v>
      </c>
      <c r="R127" s="27">
        <f t="shared" ca="1" si="97"/>
        <v>2.5187584395311094E-4</v>
      </c>
      <c r="S127" s="27">
        <f t="shared" ca="1" si="97"/>
        <v>1.6790820334797209E-3</v>
      </c>
      <c r="T127" s="27">
        <f t="shared" ca="1" si="97"/>
        <v>3.057121744868059E-3</v>
      </c>
      <c r="U127" s="27">
        <f t="shared" ca="1" si="97"/>
        <v>1.5247140092280651E-3</v>
      </c>
      <c r="V127" s="27">
        <f t="shared" ca="1" si="97"/>
        <v>2.7283884331578082E-3</v>
      </c>
      <c r="W127" s="27">
        <f t="shared" ca="1" si="97"/>
        <v>5.1901618054898645E-3</v>
      </c>
      <c r="X127" s="27">
        <f t="shared" ca="1" si="97"/>
        <v>7.5301645948035838E-3</v>
      </c>
      <c r="Y127" s="27">
        <f t="shared" ca="1" si="97"/>
        <v>8.8194879841430561E-3</v>
      </c>
      <c r="Z127" s="27">
        <f t="shared" ca="1" si="97"/>
        <v>3.6092768333548775E-3</v>
      </c>
      <c r="AA127" s="27">
        <f t="shared" ca="1" si="97"/>
        <v>9.4622101673421301E-3</v>
      </c>
      <c r="AB127" s="27">
        <f t="shared" ca="1" si="97"/>
        <v>5.7276747545118413E-3</v>
      </c>
      <c r="AC127" s="27">
        <f t="shared" ca="1" si="97"/>
        <v>2.241053196874641E-3</v>
      </c>
      <c r="AD127" s="27">
        <f t="shared" ca="1" si="97"/>
        <v>4.1620076672577487E-3</v>
      </c>
      <c r="AE127" s="27">
        <f t="shared" ca="1" si="97"/>
        <v>4.4805825861909164E-3</v>
      </c>
      <c r="AF127" s="27">
        <f t="shared" ca="1" si="97"/>
        <v>9.204632356812693E-3</v>
      </c>
    </row>
    <row r="128" spans="1:33">
      <c r="A128" s="2"/>
      <c r="B128" s="2" t="s">
        <v>47</v>
      </c>
      <c r="C128" s="9"/>
      <c r="D128" s="27">
        <f t="shared" ref="D128:AF128" ca="1" si="98">(D112-C112)/D112</f>
        <v>3.0671010498046755E-2</v>
      </c>
      <c r="E128" s="27">
        <f t="shared" ca="1" si="98"/>
        <v>7.68241853128699E-3</v>
      </c>
      <c r="F128" s="27">
        <f t="shared" ca="1" si="98"/>
        <v>4.5987349079309996E-3</v>
      </c>
      <c r="G128" s="27">
        <f t="shared" ca="1" si="98"/>
        <v>1.0576771605580541E-2</v>
      </c>
      <c r="H128" s="27">
        <f t="shared" ca="1" si="98"/>
        <v>9.781152122237867E-3</v>
      </c>
      <c r="I128" s="27">
        <f t="shared" ca="1" si="98"/>
        <v>3.8153923774473068E-3</v>
      </c>
      <c r="J128" s="27">
        <f t="shared" ca="1" si="98"/>
        <v>3.5403046043532122E-3</v>
      </c>
      <c r="K128" s="27">
        <f t="shared" ca="1" si="98"/>
        <v>5.4812452228997057E-3</v>
      </c>
      <c r="L128" s="27">
        <f t="shared" ca="1" si="98"/>
        <v>7.4620996341346352E-3</v>
      </c>
      <c r="M128" s="27">
        <f t="shared" ca="1" si="98"/>
        <v>5.639938283110448E-4</v>
      </c>
      <c r="N128" s="27">
        <f t="shared" ca="1" si="98"/>
        <v>4.2744380221801772E-3</v>
      </c>
      <c r="O128" s="27">
        <f t="shared" ca="1" si="98"/>
        <v>1.1797322748504945E-3</v>
      </c>
      <c r="P128" s="27">
        <f t="shared" ca="1" si="98"/>
        <v>-2.2338586855154328E-5</v>
      </c>
      <c r="Q128" s="27">
        <f t="shared" ca="1" si="98"/>
        <v>1.2222367953988894E-3</v>
      </c>
      <c r="R128" s="27">
        <f t="shared" ca="1" si="98"/>
        <v>9.9311109548669567E-4</v>
      </c>
      <c r="S128" s="27">
        <f t="shared" ca="1" si="98"/>
        <v>4.0608274008931081E-3</v>
      </c>
      <c r="T128" s="27">
        <f t="shared" ca="1" si="98"/>
        <v>5.4763835024736621E-3</v>
      </c>
      <c r="U128" s="27">
        <f t="shared" ca="1" si="98"/>
        <v>4.9266301428130743E-3</v>
      </c>
      <c r="V128" s="27">
        <f t="shared" ca="1" si="98"/>
        <v>3.577419957109263E-3</v>
      </c>
      <c r="W128" s="27">
        <f t="shared" ca="1" si="98"/>
        <v>3.1581489616515808E-3</v>
      </c>
      <c r="X128" s="27">
        <f t="shared" ca="1" si="98"/>
        <v>3.4228330446021225E-3</v>
      </c>
      <c r="Y128" s="27">
        <f t="shared" ca="1" si="98"/>
        <v>2.859622736714276E-3</v>
      </c>
      <c r="Z128" s="27">
        <f t="shared" ca="1" si="98"/>
        <v>3.1742452634016699E-3</v>
      </c>
      <c r="AA128" s="27">
        <f t="shared" ca="1" si="98"/>
        <v>3.6812834440754531E-3</v>
      </c>
      <c r="AB128" s="27">
        <f t="shared" ca="1" si="98"/>
        <v>3.7378786853535296E-3</v>
      </c>
      <c r="AC128" s="27">
        <f t="shared" ca="1" si="98"/>
        <v>2.645554098202879E-3</v>
      </c>
      <c r="AD128" s="27">
        <f t="shared" ca="1" si="98"/>
        <v>2.5904474124905422E-3</v>
      </c>
      <c r="AE128" s="27">
        <f t="shared" ca="1" si="98"/>
        <v>3.7219845516124925E-3</v>
      </c>
      <c r="AF128" s="27">
        <f t="shared" ca="1" si="98"/>
        <v>5.3603823381448415E-3</v>
      </c>
    </row>
    <row r="129" spans="1:33">
      <c r="A129" s="2"/>
      <c r="B129" s="2" t="s">
        <v>49</v>
      </c>
      <c r="C129" s="9"/>
      <c r="D129" s="27">
        <f t="shared" ref="D129:AF129" ca="1" si="99">(D113-C113)/D113</f>
        <v>0.13643943398340855</v>
      </c>
      <c r="E129" s="27">
        <f t="shared" ca="1" si="99"/>
        <v>2.978824640162521E-2</v>
      </c>
      <c r="F129" s="27">
        <f t="shared" ca="1" si="99"/>
        <v>-1.8826918319378379E-2</v>
      </c>
      <c r="G129" s="27">
        <f t="shared" ca="1" si="99"/>
        <v>-5.4675069857290405E-3</v>
      </c>
      <c r="H129" s="27">
        <f t="shared" ca="1" si="99"/>
        <v>1.9549738414599192E-2</v>
      </c>
      <c r="I129" s="27">
        <f t="shared" ca="1" si="99"/>
        <v>-1.3469955404975059E-2</v>
      </c>
      <c r="J129" s="27">
        <f t="shared" ca="1" si="99"/>
        <v>-1.3359705140034261E-2</v>
      </c>
      <c r="K129" s="27">
        <f t="shared" ca="1" si="99"/>
        <v>-1.1319215255208109E-2</v>
      </c>
      <c r="L129" s="27">
        <f t="shared" ca="1" si="99"/>
        <v>-1.3094002599392918E-2</v>
      </c>
      <c r="M129" s="27">
        <f t="shared" ca="1" si="99"/>
        <v>-1.637316665809441E-2</v>
      </c>
      <c r="N129" s="27">
        <f t="shared" ca="1" si="99"/>
        <v>-5.9819888623399882E-3</v>
      </c>
      <c r="O129" s="27">
        <f t="shared" ca="1" si="99"/>
        <v>-9.7677840051042051E-3</v>
      </c>
      <c r="P129" s="27">
        <f t="shared" ca="1" si="99"/>
        <v>-3.9749789578208544E-3</v>
      </c>
      <c r="Q129" s="27">
        <f t="shared" ca="1" si="99"/>
        <v>-6.1159664062137731E-3</v>
      </c>
      <c r="R129" s="27">
        <f t="shared" ca="1" si="99"/>
        <v>-3.4076048299488911E-3</v>
      </c>
      <c r="S129" s="27">
        <f t="shared" ca="1" si="99"/>
        <v>2.0976164528491034E-4</v>
      </c>
      <c r="T129" s="27">
        <f t="shared" ca="1" si="99"/>
        <v>-1.1993103077711225E-3</v>
      </c>
      <c r="U129" s="27">
        <f t="shared" ca="1" si="99"/>
        <v>-1.0681524934772488E-2</v>
      </c>
      <c r="V129" s="27">
        <f t="shared" ca="1" si="99"/>
        <v>-1.3810623747619169E-2</v>
      </c>
      <c r="W129" s="27">
        <f t="shared" ca="1" si="99"/>
        <v>-5.3820526196501064E-3</v>
      </c>
      <c r="X129" s="27">
        <f t="shared" ca="1" si="99"/>
        <v>-3.4991576619943792E-3</v>
      </c>
      <c r="Y129" s="27">
        <f t="shared" ca="1" si="99"/>
        <v>-7.5262067052089725E-3</v>
      </c>
      <c r="Z129" s="27">
        <f t="shared" ca="1" si="99"/>
        <v>-1.174507972730115E-2</v>
      </c>
      <c r="AA129" s="27">
        <f t="shared" ca="1" si="99"/>
        <v>-1.5075166869974867E-2</v>
      </c>
      <c r="AB129" s="27">
        <f t="shared" ca="1" si="99"/>
        <v>-1.1777003685447608E-2</v>
      </c>
      <c r="AC129" s="27">
        <f t="shared" ca="1" si="99"/>
        <v>-1.5221325545665512E-2</v>
      </c>
      <c r="AD129" s="27">
        <f t="shared" ca="1" si="99"/>
        <v>-2.4828599782096259E-2</v>
      </c>
      <c r="AE129" s="27">
        <f t="shared" ca="1" si="99"/>
        <v>-1.3923852329701827E-2</v>
      </c>
      <c r="AF129" s="27">
        <f t="shared" ca="1" si="99"/>
        <v>-2.2985629745668483E-3</v>
      </c>
    </row>
    <row r="130" spans="1:33">
      <c r="A130" s="2" t="s">
        <v>50</v>
      </c>
      <c r="B130" s="2" t="s">
        <v>46</v>
      </c>
      <c r="C130" s="9"/>
      <c r="D130" s="27">
        <f t="shared" ref="D130:AF130" ca="1" si="100">(D114-C114)/D114</f>
        <v>3.2737166277578909E-2</v>
      </c>
      <c r="E130" s="27">
        <f t="shared" ca="1" si="100"/>
        <v>2.2074743826508737E-2</v>
      </c>
      <c r="F130" s="27">
        <f t="shared" ca="1" si="100"/>
        <v>2.0307597712071847E-4</v>
      </c>
      <c r="G130" s="27">
        <f t="shared" ca="1" si="100"/>
        <v>-1.0971285727670453E-3</v>
      </c>
      <c r="H130" s="27">
        <f t="shared" ca="1" si="100"/>
        <v>-3.5057784311745975E-3</v>
      </c>
      <c r="I130" s="27">
        <f t="shared" ca="1" si="100"/>
        <v>-5.2632030269586403E-3</v>
      </c>
      <c r="J130" s="27">
        <f t="shared" ca="1" si="100"/>
        <v>-5.9733077085527865E-3</v>
      </c>
      <c r="K130" s="27">
        <f t="shared" ca="1" si="100"/>
        <v>-5.0824591216204733E-3</v>
      </c>
      <c r="L130" s="27">
        <f t="shared" ca="1" si="100"/>
        <v>-3.9717122307704822E-3</v>
      </c>
      <c r="M130" s="27">
        <f t="shared" ca="1" si="100"/>
        <v>-9.5873856793514366E-3</v>
      </c>
      <c r="N130" s="27">
        <f t="shared" ca="1" si="100"/>
        <v>-1.0085946793687741E-2</v>
      </c>
      <c r="O130" s="27">
        <f t="shared" ca="1" si="100"/>
        <v>-8.2748193994306614E-3</v>
      </c>
      <c r="P130" s="27">
        <f t="shared" ca="1" si="100"/>
        <v>-7.8866280780443051E-3</v>
      </c>
      <c r="Q130" s="27">
        <f t="shared" ca="1" si="100"/>
        <v>-8.0236625265169455E-3</v>
      </c>
      <c r="R130" s="27">
        <f t="shared" ca="1" si="100"/>
        <v>-7.2964344505703571E-3</v>
      </c>
      <c r="S130" s="27">
        <f t="shared" ca="1" si="100"/>
        <v>-6.0617605908034307E-3</v>
      </c>
      <c r="T130" s="27">
        <f t="shared" ca="1" si="100"/>
        <v>-5.5459857703992572E-3</v>
      </c>
      <c r="U130" s="27">
        <f t="shared" ca="1" si="100"/>
        <v>-4.5514386132249297E-3</v>
      </c>
      <c r="V130" s="27">
        <f t="shared" ca="1" si="100"/>
        <v>-3.8935770643889313E-3</v>
      </c>
      <c r="W130" s="27">
        <f t="shared" ca="1" si="100"/>
        <v>-3.4712542255713012E-3</v>
      </c>
      <c r="X130" s="27">
        <f t="shared" ca="1" si="100"/>
        <v>-2.908011989307836E-3</v>
      </c>
      <c r="Y130" s="27">
        <f t="shared" ca="1" si="100"/>
        <v>-2.582370220492423E-3</v>
      </c>
      <c r="Z130" s="27">
        <f t="shared" ca="1" si="100"/>
        <v>-1.9444665574383235E-3</v>
      </c>
      <c r="AA130" s="27">
        <f t="shared" ca="1" si="100"/>
        <v>-1.2376784873100145E-3</v>
      </c>
      <c r="AB130" s="27">
        <f t="shared" ca="1" si="100"/>
        <v>-2.53341969833417E-4</v>
      </c>
      <c r="AC130" s="27">
        <f t="shared" ca="1" si="100"/>
        <v>-3.1442048561698227E-4</v>
      </c>
      <c r="AD130" s="27">
        <f t="shared" ca="1" si="100"/>
        <v>-2.2721680265960992E-4</v>
      </c>
      <c r="AE130" s="27">
        <f t="shared" ca="1" si="100"/>
        <v>6.5333859495269448E-4</v>
      </c>
      <c r="AF130" s="27">
        <f t="shared" ca="1" si="100"/>
        <v>1.6673276390442352E-3</v>
      </c>
    </row>
    <row r="131" spans="1:33">
      <c r="B131" s="2" t="s">
        <v>51</v>
      </c>
      <c r="C131" s="9"/>
      <c r="D131" s="27">
        <f t="shared" ref="D131:AF131" ca="1" si="101">(D115-C115)/D115</f>
        <v>1.1227697541007036E-2</v>
      </c>
      <c r="E131" s="27">
        <f t="shared" ca="1" si="101"/>
        <v>1.4859580554394783E-2</v>
      </c>
      <c r="F131" s="27">
        <f t="shared" ca="1" si="101"/>
        <v>-4.9553047559623767E-3</v>
      </c>
      <c r="G131" s="27">
        <f t="shared" ca="1" si="101"/>
        <v>-6.6432763151784934E-4</v>
      </c>
      <c r="H131" s="27">
        <f t="shared" ca="1" si="101"/>
        <v>-3.1665442332117905E-3</v>
      </c>
      <c r="I131" s="27">
        <f t="shared" ca="1" si="101"/>
        <v>-6.9673302267308501E-3</v>
      </c>
      <c r="J131" s="27">
        <f t="shared" ca="1" si="101"/>
        <v>-7.2874687280435127E-3</v>
      </c>
      <c r="K131" s="27">
        <f t="shared" ca="1" si="101"/>
        <v>-8.0240263239696099E-3</v>
      </c>
      <c r="L131" s="27">
        <f t="shared" ca="1" si="101"/>
        <v>-8.1362878124967321E-3</v>
      </c>
      <c r="M131" s="27">
        <f t="shared" ca="1" si="101"/>
        <v>-1.631108824268919E-2</v>
      </c>
      <c r="N131" s="27">
        <f t="shared" ca="1" si="101"/>
        <v>-1.430029996003399E-2</v>
      </c>
      <c r="O131" s="27">
        <f t="shared" ca="1" si="101"/>
        <v>-1.3101152495321551E-2</v>
      </c>
      <c r="P131" s="27">
        <f t="shared" ca="1" si="101"/>
        <v>-1.3808365579034096E-2</v>
      </c>
      <c r="Q131" s="27">
        <f t="shared" ca="1" si="101"/>
        <v>-1.2495395471995364E-2</v>
      </c>
      <c r="R131" s="27">
        <f t="shared" ca="1" si="101"/>
        <v>-1.2240519352139529E-2</v>
      </c>
      <c r="S131" s="27">
        <f t="shared" ca="1" si="101"/>
        <v>-9.7546550560641352E-3</v>
      </c>
      <c r="T131" s="27">
        <f t="shared" ca="1" si="101"/>
        <v>-8.8079388294319688E-3</v>
      </c>
      <c r="U131" s="27">
        <f t="shared" ca="1" si="101"/>
        <v>-9.3926934875350181E-3</v>
      </c>
      <c r="V131" s="27">
        <f t="shared" ca="1" si="101"/>
        <v>-8.1531743262744944E-3</v>
      </c>
      <c r="W131" s="27">
        <f t="shared" ca="1" si="101"/>
        <v>-7.7025647968182575E-3</v>
      </c>
      <c r="X131" s="27">
        <f t="shared" ca="1" si="101"/>
        <v>-5.526995407743718E-3</v>
      </c>
      <c r="Y131" s="27">
        <f t="shared" ca="1" si="101"/>
        <v>-5.2061411870802836E-3</v>
      </c>
      <c r="Z131" s="27">
        <f t="shared" ca="1" si="101"/>
        <v>-5.9338404283705943E-3</v>
      </c>
      <c r="AA131" s="27">
        <f t="shared" ca="1" si="101"/>
        <v>-6.1250122306061834E-3</v>
      </c>
      <c r="AB131" s="27">
        <f t="shared" ca="1" si="101"/>
        <v>-5.1254689083998712E-3</v>
      </c>
      <c r="AC131" s="27">
        <f t="shared" ca="1" si="101"/>
        <v>-6.7480966764053643E-3</v>
      </c>
      <c r="AD131" s="27">
        <f t="shared" ca="1" si="101"/>
        <v>-8.2620019376603883E-3</v>
      </c>
      <c r="AE131" s="27">
        <f t="shared" ca="1" si="101"/>
        <v>-6.269763189173167E-3</v>
      </c>
      <c r="AF131" s="27">
        <f t="shared" ca="1" si="101"/>
        <v>-4.1559113393687232E-3</v>
      </c>
    </row>
    <row r="132" spans="1:33">
      <c r="A132" s="2"/>
      <c r="B132" s="2" t="s">
        <v>14</v>
      </c>
      <c r="C132" s="9"/>
      <c r="D132" s="27">
        <f t="shared" ref="D132:AF132" ca="1" si="102">(D116-C116)/D116</f>
        <v>-7.8935394189658063E-3</v>
      </c>
      <c r="E132" s="27">
        <f t="shared" ca="1" si="102"/>
        <v>1.8965381201430834E-2</v>
      </c>
      <c r="F132" s="27">
        <f t="shared" ca="1" si="102"/>
        <v>7.1022161982250975E-3</v>
      </c>
      <c r="G132" s="27">
        <f t="shared" ca="1" si="102"/>
        <v>-3.1249307942149075E-3</v>
      </c>
      <c r="H132" s="27">
        <f t="shared" ca="1" si="102"/>
        <v>5.6929834122604632E-4</v>
      </c>
      <c r="I132" s="27">
        <f t="shared" ca="1" si="102"/>
        <v>3.1754407878608203E-3</v>
      </c>
      <c r="J132" s="27">
        <f t="shared" ca="1" si="102"/>
        <v>2.7601392573174986E-2</v>
      </c>
      <c r="K132" s="27">
        <f t="shared" ca="1" si="102"/>
        <v>3.6933785835505023E-2</v>
      </c>
      <c r="L132" s="27">
        <f t="shared" ca="1" si="102"/>
        <v>2.6889414903451876E-2</v>
      </c>
      <c r="M132" s="27">
        <f t="shared" ca="1" si="102"/>
        <v>2.8389630033250908E-2</v>
      </c>
      <c r="N132" s="27">
        <f t="shared" ca="1" si="102"/>
        <v>2.7192676027682515E-2</v>
      </c>
      <c r="O132" s="27">
        <f t="shared" ca="1" si="102"/>
        <v>2.7239438498220518E-2</v>
      </c>
      <c r="P132" s="27">
        <f t="shared" ca="1" si="102"/>
        <v>3.0694923514080975E-2</v>
      </c>
      <c r="Q132" s="27">
        <f t="shared" ca="1" si="102"/>
        <v>1.2688292686865962E-2</v>
      </c>
      <c r="R132" s="27">
        <f t="shared" ca="1" si="102"/>
        <v>1.7429369980835153E-2</v>
      </c>
      <c r="S132" s="27">
        <f t="shared" ca="1" si="102"/>
        <v>2.0983360129648038E-2</v>
      </c>
      <c r="T132" s="27">
        <f t="shared" ca="1" si="102"/>
        <v>1.7204607880198172E-2</v>
      </c>
      <c r="U132" s="27">
        <f t="shared" ca="1" si="102"/>
        <v>1.9405336614632566E-2</v>
      </c>
      <c r="V132" s="27">
        <f t="shared" ca="1" si="102"/>
        <v>2.1929278577200093E-2</v>
      </c>
      <c r="W132" s="27">
        <f t="shared" ca="1" si="102"/>
        <v>1.7922359390629455E-2</v>
      </c>
      <c r="X132" s="27">
        <f t="shared" ca="1" si="102"/>
        <v>1.1799047310439912E-2</v>
      </c>
      <c r="Y132" s="27">
        <f t="shared" ca="1" si="102"/>
        <v>1.6114903926820037E-2</v>
      </c>
      <c r="Z132" s="27">
        <f t="shared" ca="1" si="102"/>
        <v>1.440464667152468E-2</v>
      </c>
      <c r="AA132" s="27">
        <f t="shared" ca="1" si="102"/>
        <v>1.2361199659418908E-2</v>
      </c>
      <c r="AB132" s="27">
        <f t="shared" ca="1" si="102"/>
        <v>1.4033737739148944E-2</v>
      </c>
      <c r="AC132" s="27">
        <f t="shared" ca="1" si="102"/>
        <v>1.6758532813598299E-2</v>
      </c>
      <c r="AD132" s="27">
        <f t="shared" ca="1" si="102"/>
        <v>1.6785544353145339E-2</v>
      </c>
      <c r="AE132" s="27">
        <f t="shared" ca="1" si="102"/>
        <v>1.0493497939643442E-2</v>
      </c>
      <c r="AF132" s="27">
        <f t="shared" ca="1" si="102"/>
        <v>1.3787042627116794E-2</v>
      </c>
    </row>
    <row r="133" spans="1:33">
      <c r="A133" s="2"/>
      <c r="B133" s="2" t="s">
        <v>44</v>
      </c>
      <c r="C133" s="9"/>
      <c r="D133" s="27">
        <f t="shared" ref="D133:AF133" ca="1" si="103">(D117-C117)/D117</f>
        <v>0.2722265822749324</v>
      </c>
      <c r="E133" s="27">
        <f t="shared" ca="1" si="103"/>
        <v>0.24041371425177302</v>
      </c>
      <c r="F133" s="27">
        <f t="shared" ca="1" si="103"/>
        <v>0.21062606268038575</v>
      </c>
      <c r="G133" s="27">
        <f t="shared" ca="1" si="103"/>
        <v>0.18409327099376119</v>
      </c>
      <c r="H133" s="27">
        <f t="shared" ca="1" si="103"/>
        <v>0.16389311588457217</v>
      </c>
      <c r="I133" s="27">
        <f t="shared" ca="1" si="103"/>
        <v>0.14355137922264014</v>
      </c>
      <c r="J133" s="27">
        <f t="shared" ca="1" si="103"/>
        <v>0.12551148424229089</v>
      </c>
      <c r="K133" s="27">
        <f t="shared" ca="1" si="103"/>
        <v>0.11290322675616707</v>
      </c>
      <c r="L133" s="27">
        <f t="shared" ca="1" si="103"/>
        <v>0.10324913596514944</v>
      </c>
      <c r="M133" s="27">
        <f t="shared" ca="1" si="103"/>
        <v>8.8900024347248058E-2</v>
      </c>
      <c r="N133" s="27">
        <f t="shared" ca="1" si="103"/>
        <v>7.9991538715825955E-2</v>
      </c>
      <c r="O133" s="27">
        <f t="shared" ca="1" si="103"/>
        <v>7.4054064631751321E-2</v>
      </c>
      <c r="P133" s="27">
        <f t="shared" ca="1" si="103"/>
        <v>6.8905778136225032E-2</v>
      </c>
      <c r="Q133" s="27">
        <f t="shared" ca="1" si="103"/>
        <v>6.3561051265624516E-2</v>
      </c>
      <c r="R133" s="27">
        <f t="shared" ca="1" si="103"/>
        <v>5.9528918941663372E-2</v>
      </c>
      <c r="S133" s="27">
        <f t="shared" ca="1" si="103"/>
        <v>5.6214381799288581E-2</v>
      </c>
      <c r="T133" s="27">
        <f t="shared" ca="1" si="103"/>
        <v>5.3069812708044624E-2</v>
      </c>
      <c r="U133" s="27">
        <f t="shared" ca="1" si="103"/>
        <v>5.0177969700194058E-2</v>
      </c>
      <c r="V133" s="27">
        <f t="shared" ca="1" si="103"/>
        <v>4.7646721402287241E-2</v>
      </c>
      <c r="W133" s="27">
        <f t="shared" ca="1" si="103"/>
        <v>4.4630332796364997E-2</v>
      </c>
      <c r="X133" s="27">
        <f t="shared" ca="1" si="103"/>
        <v>4.2174200452497403E-2</v>
      </c>
      <c r="Y133" s="27">
        <f t="shared" ca="1" si="103"/>
        <v>4.0609471763211807E-2</v>
      </c>
      <c r="Z133" s="27">
        <f t="shared" ca="1" si="103"/>
        <v>3.9441242125653864E-2</v>
      </c>
      <c r="AA133" s="27">
        <f t="shared" ca="1" si="103"/>
        <v>3.6942147050089968E-2</v>
      </c>
      <c r="AB133" s="27">
        <f t="shared" ca="1" si="103"/>
        <v>3.5609390417507596E-2</v>
      </c>
      <c r="AC133" s="27">
        <f t="shared" ca="1" si="103"/>
        <v>3.3779248544838339E-2</v>
      </c>
      <c r="AD133" s="27">
        <f t="shared" ca="1" si="103"/>
        <v>3.2161979573405851E-2</v>
      </c>
      <c r="AE133" s="27">
        <f t="shared" ca="1" si="103"/>
        <v>3.1353130713211448E-2</v>
      </c>
      <c r="AF133" s="27">
        <f t="shared" ca="1" si="103"/>
        <v>3.0684725873066105E-2</v>
      </c>
    </row>
    <row r="135" spans="1:33">
      <c r="B135" s="23" t="s">
        <v>62</v>
      </c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</row>
    <row r="136" spans="1:33">
      <c r="A136" s="20" t="s">
        <v>63</v>
      </c>
      <c r="B136" s="2"/>
      <c r="C136" s="24">
        <f ca="1">'Dayton Kettering MSA Pop'!D18</f>
        <v>536136</v>
      </c>
      <c r="D136" s="24">
        <f ca="1">'Dayton Kettering MSA Pop'!E18</f>
        <v>534573.3448275862</v>
      </c>
      <c r="E136" s="24">
        <f ca="1">'Dayton Kettering MSA Pop'!F18</f>
        <v>533010.68965517241</v>
      </c>
      <c r="F136" s="24">
        <f ca="1">'Dayton Kettering MSA Pop'!G18</f>
        <v>531448.03448275861</v>
      </c>
      <c r="G136" s="24">
        <f ca="1">'Dayton Kettering MSA Pop'!H18</f>
        <v>529885.37931034481</v>
      </c>
      <c r="H136" s="24">
        <f ca="1">'Dayton Kettering MSA Pop'!I18</f>
        <v>528322.72413793101</v>
      </c>
      <c r="I136" s="24">
        <f ca="1">'Dayton Kettering MSA Pop'!J18</f>
        <v>526760.06896551722</v>
      </c>
      <c r="J136" s="24">
        <f ca="1">'Dayton Kettering MSA Pop'!K18</f>
        <v>525197.41379310342</v>
      </c>
      <c r="K136" s="24">
        <f ca="1">'Dayton Kettering MSA Pop'!L18</f>
        <v>523634.75862068962</v>
      </c>
      <c r="L136" s="24">
        <f ca="1">'Dayton Kettering MSA Pop'!M18</f>
        <v>522072.10344827583</v>
      </c>
      <c r="M136" s="24">
        <f ca="1">'Dayton Kettering MSA Pop'!N18</f>
        <v>520509.44827586203</v>
      </c>
      <c r="N136" s="24">
        <f ca="1">'Dayton Kettering MSA Pop'!O18</f>
        <v>518946.79310344823</v>
      </c>
      <c r="O136" s="24">
        <f ca="1">'Dayton Kettering MSA Pop'!P18</f>
        <v>517384.13793103443</v>
      </c>
      <c r="P136" s="24">
        <f ca="1">'Dayton Kettering MSA Pop'!Q18</f>
        <v>515821.48275862064</v>
      </c>
      <c r="Q136" s="24">
        <f ca="1">'Dayton Kettering MSA Pop'!R18</f>
        <v>514258.82758620684</v>
      </c>
      <c r="R136" s="24">
        <f ca="1">'Dayton Kettering MSA Pop'!S18</f>
        <v>512696.17241379304</v>
      </c>
      <c r="S136" s="24">
        <f ca="1">'Dayton Kettering MSA Pop'!T18</f>
        <v>511133.51724137925</v>
      </c>
      <c r="T136" s="24">
        <f ca="1">'Dayton Kettering MSA Pop'!U18</f>
        <v>509570.86206896545</v>
      </c>
      <c r="U136" s="24">
        <f ca="1">'Dayton Kettering MSA Pop'!V18</f>
        <v>508008.20689655165</v>
      </c>
      <c r="V136" s="24">
        <f ca="1">'Dayton Kettering MSA Pop'!W18</f>
        <v>506445.55172413785</v>
      </c>
      <c r="W136" s="24">
        <f ca="1">'Dayton Kettering MSA Pop'!X18</f>
        <v>504882.89655172406</v>
      </c>
      <c r="X136" s="24">
        <f ca="1">'Dayton Kettering MSA Pop'!Y18</f>
        <v>503320.24137931026</v>
      </c>
      <c r="Y136" s="24">
        <f ca="1">'Dayton Kettering MSA Pop'!Z18</f>
        <v>501757.58620689646</v>
      </c>
      <c r="Z136" s="24">
        <f ca="1">'Dayton Kettering MSA Pop'!AA18</f>
        <v>500194.93103448267</v>
      </c>
      <c r="AA136" s="24">
        <f ca="1">'Dayton Kettering MSA Pop'!AB18</f>
        <v>498632.27586206887</v>
      </c>
      <c r="AB136" s="24">
        <f ca="1">'Dayton Kettering MSA Pop'!AC18</f>
        <v>497069.62068965507</v>
      </c>
      <c r="AC136" s="24">
        <f ca="1">'Dayton Kettering MSA Pop'!AD18</f>
        <v>495506.96551724127</v>
      </c>
      <c r="AD136" s="24">
        <f ca="1">'Dayton Kettering MSA Pop'!AE18</f>
        <v>493944.31034482748</v>
      </c>
      <c r="AE136" s="24">
        <f ca="1">'Dayton Kettering MSA Pop'!AF18</f>
        <v>492381.65517241368</v>
      </c>
      <c r="AF136" s="24">
        <f>'Dayton Kettering MSA Pop'!AG18</f>
        <v>490819</v>
      </c>
      <c r="AG136" s="25">
        <f t="shared" ref="AG136:AG149" ca="1" si="104">AF136/C136</f>
        <v>0.91547480490024924</v>
      </c>
    </row>
    <row r="137" spans="1:33">
      <c r="A137" s="2" t="s">
        <v>43</v>
      </c>
      <c r="B137" s="2" t="s">
        <v>44</v>
      </c>
      <c r="C137" s="24">
        <f t="shared" ref="C137:AF137" ca="1" si="105">C22*C$136</f>
        <v>2461668667.7573423</v>
      </c>
      <c r="D137" s="24">
        <f t="shared" ca="1" si="105"/>
        <v>2360978996.3212881</v>
      </c>
      <c r="E137" s="24">
        <f t="shared" ca="1" si="105"/>
        <v>2453680208.6834631</v>
      </c>
      <c r="F137" s="24">
        <f t="shared" ca="1" si="105"/>
        <v>2467026237.7806053</v>
      </c>
      <c r="G137" s="24">
        <f t="shared" ca="1" si="105"/>
        <v>2476088816.5515428</v>
      </c>
      <c r="H137" s="24">
        <f t="shared" ca="1" si="105"/>
        <v>2479440070.9673042</v>
      </c>
      <c r="I137" s="24">
        <f t="shared" ca="1" si="105"/>
        <v>2480293972.7728405</v>
      </c>
      <c r="J137" s="24">
        <f t="shared" ca="1" si="105"/>
        <v>2481217645.2094269</v>
      </c>
      <c r="K137" s="24">
        <f t="shared" ca="1" si="105"/>
        <v>2483100974.569243</v>
      </c>
      <c r="L137" s="24">
        <f t="shared" ca="1" si="105"/>
        <v>2480005195.1887674</v>
      </c>
      <c r="M137" s="24">
        <f t="shared" ca="1" si="105"/>
        <v>2461822048.9077592</v>
      </c>
      <c r="N137" s="24">
        <f t="shared" ca="1" si="105"/>
        <v>2446069951.4056664</v>
      </c>
      <c r="O137" s="24">
        <f t="shared" ca="1" si="105"/>
        <v>2433301644.4091854</v>
      </c>
      <c r="P137" s="24">
        <f t="shared" ca="1" si="105"/>
        <v>2423098958.7521424</v>
      </c>
      <c r="Q137" s="24">
        <f t="shared" ca="1" si="105"/>
        <v>2414782468.3788733</v>
      </c>
      <c r="R137" s="24">
        <f t="shared" ca="1" si="105"/>
        <v>2406979827.2046261</v>
      </c>
      <c r="S137" s="24">
        <f t="shared" ca="1" si="105"/>
        <v>2400950333.2015901</v>
      </c>
      <c r="T137" s="24">
        <f t="shared" ca="1" si="105"/>
        <v>2394827875.6431746</v>
      </c>
      <c r="U137" s="24">
        <f t="shared" ca="1" si="105"/>
        <v>2388369689.8338289</v>
      </c>
      <c r="V137" s="24">
        <f t="shared" ca="1" si="105"/>
        <v>2380011877.3929925</v>
      </c>
      <c r="W137" s="24">
        <f t="shared" ca="1" si="105"/>
        <v>2370833715.0666127</v>
      </c>
      <c r="X137" s="24">
        <f t="shared" ca="1" si="105"/>
        <v>2363603356.9544749</v>
      </c>
      <c r="Y137" s="24">
        <f t="shared" ca="1" si="105"/>
        <v>2357734550.7260675</v>
      </c>
      <c r="Z137" s="24">
        <f t="shared" ca="1" si="105"/>
        <v>2353498650.5216985</v>
      </c>
      <c r="AA137" s="24">
        <f t="shared" ca="1" si="105"/>
        <v>2349981570.4056053</v>
      </c>
      <c r="AB137" s="24">
        <f t="shared" ca="1" si="105"/>
        <v>2347133629.778657</v>
      </c>
      <c r="AC137" s="24">
        <f t="shared" ca="1" si="105"/>
        <v>2344361042.6984944</v>
      </c>
      <c r="AD137" s="24">
        <f t="shared" ca="1" si="105"/>
        <v>2343050629.8605089</v>
      </c>
      <c r="AE137" s="24">
        <f t="shared" ca="1" si="105"/>
        <v>2343223669.5068874</v>
      </c>
      <c r="AF137" s="24">
        <f t="shared" si="105"/>
        <v>2344775724.3847213</v>
      </c>
      <c r="AG137" s="25">
        <f t="shared" ca="1" si="104"/>
        <v>0.95251475354759496</v>
      </c>
    </row>
    <row r="138" spans="1:33">
      <c r="A138" s="2"/>
      <c r="B138" s="2" t="s">
        <v>14</v>
      </c>
      <c r="C138" s="24">
        <f t="shared" ref="C138:AF138" ca="1" si="106">C23*C$136</f>
        <v>12655.950376156219</v>
      </c>
      <c r="D138" s="24">
        <f t="shared" ca="1" si="106"/>
        <v>12181.880125830419</v>
      </c>
      <c r="E138" s="24">
        <f t="shared" ca="1" si="106"/>
        <v>13360.523510689032</v>
      </c>
      <c r="F138" s="24">
        <f t="shared" ca="1" si="106"/>
        <v>13392.691653801767</v>
      </c>
      <c r="G138" s="24">
        <f t="shared" ca="1" si="106"/>
        <v>13393.188534836321</v>
      </c>
      <c r="H138" s="24">
        <f t="shared" ca="1" si="106"/>
        <v>13325.214953276531</v>
      </c>
      <c r="I138" s="24">
        <f t="shared" ca="1" si="106"/>
        <v>13227.889352704085</v>
      </c>
      <c r="J138" s="24">
        <f t="shared" ca="1" si="106"/>
        <v>13112.690463012899</v>
      </c>
      <c r="K138" s="24">
        <f t="shared" ca="1" si="106"/>
        <v>12982.627564972054</v>
      </c>
      <c r="L138" s="24">
        <f t="shared" ca="1" si="106"/>
        <v>12865.093222572159</v>
      </c>
      <c r="M138" s="24">
        <f t="shared" ca="1" si="106"/>
        <v>12675.353198738414</v>
      </c>
      <c r="N138" s="24">
        <f t="shared" ca="1" si="106"/>
        <v>12499.454460569817</v>
      </c>
      <c r="O138" s="24">
        <f t="shared" ca="1" si="106"/>
        <v>12324.027537823449</v>
      </c>
      <c r="P138" s="24">
        <f t="shared" ca="1" si="106"/>
        <v>12159.492929586855</v>
      </c>
      <c r="Q138" s="24">
        <f t="shared" ca="1" si="106"/>
        <v>12008.340676561558</v>
      </c>
      <c r="R138" s="24">
        <f t="shared" ca="1" si="106"/>
        <v>11861.786165457022</v>
      </c>
      <c r="S138" s="24">
        <f t="shared" ca="1" si="106"/>
        <v>11714.013715490595</v>
      </c>
      <c r="T138" s="24">
        <f t="shared" ca="1" si="106"/>
        <v>11567.821888096552</v>
      </c>
      <c r="U138" s="24">
        <f t="shared" ca="1" si="106"/>
        <v>11425.373891820362</v>
      </c>
      <c r="V138" s="24">
        <f t="shared" ca="1" si="106"/>
        <v>11287.971551962517</v>
      </c>
      <c r="W138" s="24">
        <f t="shared" ca="1" si="106"/>
        <v>11153.690529579038</v>
      </c>
      <c r="X138" s="24">
        <f t="shared" ca="1" si="106"/>
        <v>11021.938063929814</v>
      </c>
      <c r="Y138" s="24">
        <f t="shared" ca="1" si="106"/>
        <v>10891.895376525099</v>
      </c>
      <c r="Z138" s="24">
        <f t="shared" ca="1" si="106"/>
        <v>10768.864639824787</v>
      </c>
      <c r="AA138" s="24">
        <f t="shared" ca="1" si="106"/>
        <v>10644.843955145547</v>
      </c>
      <c r="AB138" s="24">
        <f t="shared" ca="1" si="106"/>
        <v>10520.823582215924</v>
      </c>
      <c r="AC138" s="24">
        <f t="shared" ca="1" si="106"/>
        <v>10396.619858305512</v>
      </c>
      <c r="AD138" s="24">
        <f t="shared" ca="1" si="106"/>
        <v>10272.993621959107</v>
      </c>
      <c r="AE138" s="24">
        <f t="shared" ca="1" si="106"/>
        <v>10149.052461972777</v>
      </c>
      <c r="AF138" s="24">
        <f t="shared" si="106"/>
        <v>10025.39475727394</v>
      </c>
      <c r="AG138" s="25">
        <f t="shared" ca="1" si="104"/>
        <v>0.79214870944514448</v>
      </c>
    </row>
    <row r="139" spans="1:33">
      <c r="A139" s="2" t="s">
        <v>45</v>
      </c>
      <c r="B139" s="2" t="s">
        <v>44</v>
      </c>
      <c r="C139" s="24">
        <f t="shared" ref="C139:AF139" ca="1" si="107">C24*C$136</f>
        <v>2057489784.6623721</v>
      </c>
      <c r="D139" s="24">
        <f t="shared" ca="1" si="107"/>
        <v>2064270493.4420722</v>
      </c>
      <c r="E139" s="24">
        <f t="shared" ca="1" si="107"/>
        <v>2071859137.4997485</v>
      </c>
      <c r="F139" s="24">
        <f t="shared" ca="1" si="107"/>
        <v>2067648546.0671611</v>
      </c>
      <c r="G139" s="24">
        <f t="shared" ca="1" si="107"/>
        <v>2064033201.568819</v>
      </c>
      <c r="H139" s="24">
        <f t="shared" ca="1" si="107"/>
        <v>2053633910.5728462</v>
      </c>
      <c r="I139" s="24">
        <f t="shared" ca="1" si="107"/>
        <v>2049685047.7682092</v>
      </c>
      <c r="J139" s="24">
        <f t="shared" ca="1" si="107"/>
        <v>2044756410.6221542</v>
      </c>
      <c r="K139" s="24">
        <f t="shared" ca="1" si="107"/>
        <v>2040503261.9528687</v>
      </c>
      <c r="L139" s="24">
        <f t="shared" ca="1" si="107"/>
        <v>2030232122.8299971</v>
      </c>
      <c r="M139" s="24">
        <f t="shared" ca="1" si="107"/>
        <v>2011369364.3709404</v>
      </c>
      <c r="N139" s="24">
        <f t="shared" ca="1" si="107"/>
        <v>1995098394.6245492</v>
      </c>
      <c r="O139" s="24">
        <f t="shared" ca="1" si="107"/>
        <v>1982023688.5870819</v>
      </c>
      <c r="P139" s="24">
        <f t="shared" ca="1" si="107"/>
        <v>1971481123.5527101</v>
      </c>
      <c r="Q139" s="24">
        <f t="shared" ca="1" si="107"/>
        <v>1962253628.7419786</v>
      </c>
      <c r="R139" s="24">
        <f t="shared" ca="1" si="107"/>
        <v>1953227289.4015758</v>
      </c>
      <c r="S139" s="24">
        <f t="shared" ca="1" si="107"/>
        <v>1944904304.7332227</v>
      </c>
      <c r="T139" s="24">
        <f t="shared" ca="1" si="107"/>
        <v>1937204573.8981812</v>
      </c>
      <c r="U139" s="24">
        <f t="shared" ca="1" si="107"/>
        <v>1928425562.9995737</v>
      </c>
      <c r="V139" s="24">
        <f t="shared" ca="1" si="107"/>
        <v>1918183436.0083921</v>
      </c>
      <c r="W139" s="24">
        <f t="shared" ca="1" si="107"/>
        <v>1910360412.7378638</v>
      </c>
      <c r="X139" s="24">
        <f t="shared" ca="1" si="107"/>
        <v>1904591293.3436546</v>
      </c>
      <c r="Y139" s="24">
        <f t="shared" ca="1" si="107"/>
        <v>1900008471.4312806</v>
      </c>
      <c r="Z139" s="24">
        <f t="shared" ca="1" si="107"/>
        <v>1895598517.3870907</v>
      </c>
      <c r="AA139" s="24">
        <f t="shared" ca="1" si="107"/>
        <v>1892196127.3680022</v>
      </c>
      <c r="AB139" s="24">
        <f t="shared" ca="1" si="107"/>
        <v>1887008573.4435055</v>
      </c>
      <c r="AC139" s="24">
        <f t="shared" ca="1" si="107"/>
        <v>1883434223.9124916</v>
      </c>
      <c r="AD139" s="24">
        <f t="shared" ca="1" si="107"/>
        <v>1880013541.8842957</v>
      </c>
      <c r="AE139" s="24">
        <f t="shared" ca="1" si="107"/>
        <v>1878621644.2678456</v>
      </c>
      <c r="AF139" s="24">
        <f t="shared" si="107"/>
        <v>1877802655.3574417</v>
      </c>
      <c r="AG139" s="25">
        <f t="shared" ca="1" si="104"/>
        <v>0.91266681825377005</v>
      </c>
    </row>
    <row r="140" spans="1:33">
      <c r="A140" s="2"/>
      <c r="B140" s="2" t="s">
        <v>14</v>
      </c>
      <c r="C140" s="24">
        <f t="shared" ref="C140:AF140" ca="1" si="108">C25*C$136</f>
        <v>8301.0621973278521</v>
      </c>
      <c r="D140" s="24">
        <f t="shared" ca="1" si="108"/>
        <v>8562.7571361356113</v>
      </c>
      <c r="E140" s="24">
        <f t="shared" ca="1" si="108"/>
        <v>8420.8912435831735</v>
      </c>
      <c r="F140" s="24">
        <f t="shared" ca="1" si="108"/>
        <v>8426.4439709909293</v>
      </c>
      <c r="G140" s="24">
        <f t="shared" ca="1" si="108"/>
        <v>8450.9549983064644</v>
      </c>
      <c r="H140" s="24">
        <f t="shared" ca="1" si="108"/>
        <v>8440.7699871585537</v>
      </c>
      <c r="I140" s="24">
        <f t="shared" ca="1" si="108"/>
        <v>8460.3105655303389</v>
      </c>
      <c r="J140" s="24">
        <f t="shared" ca="1" si="108"/>
        <v>8443.8202367579706</v>
      </c>
      <c r="K140" s="24">
        <f t="shared" ca="1" si="108"/>
        <v>8398.0834250606931</v>
      </c>
      <c r="L140" s="24">
        <f t="shared" ca="1" si="108"/>
        <v>8358.1705371291937</v>
      </c>
      <c r="M140" s="24">
        <f t="shared" ca="1" si="108"/>
        <v>8280.4082939008476</v>
      </c>
      <c r="N140" s="24">
        <f t="shared" ca="1" si="108"/>
        <v>8214.5306656079465</v>
      </c>
      <c r="O140" s="24">
        <f t="shared" ca="1" si="108"/>
        <v>8143.4084572265047</v>
      </c>
      <c r="P140" s="24">
        <f t="shared" ca="1" si="108"/>
        <v>8080.60535351627</v>
      </c>
      <c r="Q140" s="24">
        <f t="shared" ca="1" si="108"/>
        <v>8028.0528560953671</v>
      </c>
      <c r="R140" s="24">
        <f t="shared" ca="1" si="108"/>
        <v>7974.6616128585856</v>
      </c>
      <c r="S140" s="24">
        <f t="shared" ca="1" si="108"/>
        <v>7913.4535698743221</v>
      </c>
      <c r="T140" s="24">
        <f t="shared" ca="1" si="108"/>
        <v>7848.475559302261</v>
      </c>
      <c r="U140" s="24">
        <f t="shared" ca="1" si="108"/>
        <v>7782.8067340084808</v>
      </c>
      <c r="V140" s="24">
        <f t="shared" ca="1" si="108"/>
        <v>7717.6366946015496</v>
      </c>
      <c r="W140" s="24">
        <f t="shared" ca="1" si="108"/>
        <v>7654.7788730567963</v>
      </c>
      <c r="X140" s="24">
        <f t="shared" ca="1" si="108"/>
        <v>7593.6918660059173</v>
      </c>
      <c r="Y140" s="24">
        <f t="shared" ca="1" si="108"/>
        <v>7532.8336216823855</v>
      </c>
      <c r="Z140" s="24">
        <f t="shared" ca="1" si="108"/>
        <v>7477.1290691464037</v>
      </c>
      <c r="AA140" s="24">
        <f t="shared" ca="1" si="108"/>
        <v>7420.333879200949</v>
      </c>
      <c r="AB140" s="24">
        <f t="shared" ca="1" si="108"/>
        <v>7362.0019642356092</v>
      </c>
      <c r="AC140" s="24">
        <f t="shared" ca="1" si="108"/>
        <v>7302.13530322938</v>
      </c>
      <c r="AD140" s="24">
        <f t="shared" ca="1" si="108"/>
        <v>7242.0268210805907</v>
      </c>
      <c r="AE140" s="24">
        <f t="shared" ca="1" si="108"/>
        <v>7180.446178345228</v>
      </c>
      <c r="AF140" s="24">
        <f t="shared" si="108"/>
        <v>7118.0110313700889</v>
      </c>
      <c r="AG140" s="25">
        <f t="shared" ca="1" si="104"/>
        <v>0.85748195377471181</v>
      </c>
    </row>
    <row r="141" spans="1:33">
      <c r="A141" s="2"/>
      <c r="B141" s="2" t="s">
        <v>46</v>
      </c>
      <c r="C141" s="24">
        <f t="shared" ref="C141:AF141" ca="1" si="109">C26*C$136</f>
        <v>695.28702569373081</v>
      </c>
      <c r="D141" s="24">
        <f t="shared" ca="1" si="109"/>
        <v>696.2109362255311</v>
      </c>
      <c r="E141" s="24">
        <f t="shared" ca="1" si="109"/>
        <v>702.46971915554127</v>
      </c>
      <c r="F141" s="24">
        <f t="shared" ca="1" si="109"/>
        <v>701.81501172467188</v>
      </c>
      <c r="G141" s="24">
        <f t="shared" ca="1" si="109"/>
        <v>702.87656509415467</v>
      </c>
      <c r="H141" s="24">
        <f t="shared" ca="1" si="109"/>
        <v>702.6077107552303</v>
      </c>
      <c r="I141" s="24">
        <f t="shared" ca="1" si="109"/>
        <v>703.60484695299101</v>
      </c>
      <c r="J141" s="24">
        <f t="shared" ca="1" si="109"/>
        <v>702.86507775231883</v>
      </c>
      <c r="K141" s="24">
        <f t="shared" ca="1" si="109"/>
        <v>702.02926772005799</v>
      </c>
      <c r="L141" s="24">
        <f t="shared" ca="1" si="109"/>
        <v>700.0584200770794</v>
      </c>
      <c r="M141" s="24">
        <f t="shared" ca="1" si="109"/>
        <v>694.71491860572166</v>
      </c>
      <c r="N141" s="24">
        <f t="shared" ca="1" si="109"/>
        <v>689.51314545927266</v>
      </c>
      <c r="O141" s="24">
        <f t="shared" ca="1" si="109"/>
        <v>684.97937483649275</v>
      </c>
      <c r="P141" s="24">
        <f t="shared" ca="1" si="109"/>
        <v>680.13540772184513</v>
      </c>
      <c r="Q141" s="24">
        <f t="shared" ca="1" si="109"/>
        <v>675.770206902371</v>
      </c>
      <c r="R141" s="24">
        <f t="shared" ca="1" si="109"/>
        <v>671.0117229249114</v>
      </c>
      <c r="S141" s="24">
        <f t="shared" ca="1" si="109"/>
        <v>666.33945953295176</v>
      </c>
      <c r="T141" s="24">
        <f t="shared" ca="1" si="109"/>
        <v>661.32818887414408</v>
      </c>
      <c r="U141" s="24">
        <f t="shared" ca="1" si="109"/>
        <v>657.3729555126497</v>
      </c>
      <c r="V141" s="24">
        <f t="shared" ca="1" si="109"/>
        <v>652.5732864245598</v>
      </c>
      <c r="W141" s="24">
        <f t="shared" ca="1" si="109"/>
        <v>648.27278151129974</v>
      </c>
      <c r="X141" s="24">
        <f t="shared" ca="1" si="109"/>
        <v>644.29584806341825</v>
      </c>
      <c r="Y141" s="24">
        <f t="shared" ca="1" si="109"/>
        <v>639.65852365358944</v>
      </c>
      <c r="Z141" s="24">
        <f t="shared" ca="1" si="109"/>
        <v>635.02271488204713</v>
      </c>
      <c r="AA141" s="24">
        <f t="shared" ca="1" si="109"/>
        <v>630.94944231040847</v>
      </c>
      <c r="AB141" s="24">
        <f t="shared" ca="1" si="109"/>
        <v>626.47220678079145</v>
      </c>
      <c r="AC141" s="24">
        <f t="shared" ca="1" si="109"/>
        <v>622.66514472005883</v>
      </c>
      <c r="AD141" s="24">
        <f t="shared" ca="1" si="109"/>
        <v>619.12171018757886</v>
      </c>
      <c r="AE141" s="24">
        <f t="shared" ca="1" si="109"/>
        <v>615.48676839139307</v>
      </c>
      <c r="AF141" s="24">
        <f t="shared" si="109"/>
        <v>611.87819182809187</v>
      </c>
      <c r="AG141" s="25">
        <f t="shared" ca="1" si="104"/>
        <v>0.88003683258375665</v>
      </c>
    </row>
    <row r="142" spans="1:33">
      <c r="A142" s="2"/>
      <c r="B142" s="2" t="s">
        <v>47</v>
      </c>
      <c r="C142" s="24">
        <f t="shared" ref="C142:AF142" ca="1" si="110">C27*C$136</f>
        <v>664.84353751284686</v>
      </c>
      <c r="D142" s="24">
        <f t="shared" ca="1" si="110"/>
        <v>684.97655044042563</v>
      </c>
      <c r="E142" s="24">
        <f t="shared" ca="1" si="110"/>
        <v>720.87623897698097</v>
      </c>
      <c r="F142" s="24">
        <f t="shared" ca="1" si="110"/>
        <v>716.08084556779511</v>
      </c>
      <c r="G142" s="24">
        <f t="shared" ca="1" si="110"/>
        <v>712.23607765305701</v>
      </c>
      <c r="H142" s="24">
        <f t="shared" ca="1" si="110"/>
        <v>708.48555736271578</v>
      </c>
      <c r="I142" s="24">
        <f t="shared" ca="1" si="110"/>
        <v>712.74493447561429</v>
      </c>
      <c r="J142" s="24">
        <f t="shared" ca="1" si="110"/>
        <v>712.53128782213059</v>
      </c>
      <c r="K142" s="24">
        <f t="shared" ca="1" si="110"/>
        <v>709.63786826047271</v>
      </c>
      <c r="L142" s="24">
        <f t="shared" ca="1" si="110"/>
        <v>706.47641321097728</v>
      </c>
      <c r="M142" s="24">
        <f t="shared" ca="1" si="110"/>
        <v>698.34606711233994</v>
      </c>
      <c r="N142" s="24">
        <f t="shared" ca="1" si="110"/>
        <v>690.31350894790796</v>
      </c>
      <c r="O142" s="24">
        <f t="shared" ca="1" si="110"/>
        <v>682.55365430233473</v>
      </c>
      <c r="P142" s="24">
        <f t="shared" ca="1" si="110"/>
        <v>675.4107261733817</v>
      </c>
      <c r="Q142" s="24">
        <f t="shared" ca="1" si="110"/>
        <v>668.1763080898163</v>
      </c>
      <c r="R142" s="24">
        <f t="shared" ca="1" si="110"/>
        <v>660.63813736939767</v>
      </c>
      <c r="S142" s="24">
        <f t="shared" ca="1" si="110"/>
        <v>652.4200270193196</v>
      </c>
      <c r="T142" s="24">
        <f t="shared" ca="1" si="110"/>
        <v>644.47096976488899</v>
      </c>
      <c r="U142" s="24">
        <f t="shared" ca="1" si="110"/>
        <v>637.1635478939877</v>
      </c>
      <c r="V142" s="24">
        <f t="shared" ca="1" si="110"/>
        <v>629.56629567880032</v>
      </c>
      <c r="W142" s="24">
        <f t="shared" ca="1" si="110"/>
        <v>622.2244460082627</v>
      </c>
      <c r="X142" s="24">
        <f t="shared" ca="1" si="110"/>
        <v>615.50187777181395</v>
      </c>
      <c r="Y142" s="24">
        <f t="shared" ca="1" si="110"/>
        <v>608.24526791182291</v>
      </c>
      <c r="Z142" s="24">
        <f t="shared" ca="1" si="110"/>
        <v>600.46804932111456</v>
      </c>
      <c r="AA142" s="24">
        <f t="shared" ca="1" si="110"/>
        <v>593.0243949052699</v>
      </c>
      <c r="AB142" s="24">
        <f t="shared" ca="1" si="110"/>
        <v>585.86752671166596</v>
      </c>
      <c r="AC142" s="24">
        <f t="shared" ca="1" si="110"/>
        <v>579.3068071121545</v>
      </c>
      <c r="AD142" s="24">
        <f t="shared" ca="1" si="110"/>
        <v>573.40712711473407</v>
      </c>
      <c r="AE142" s="24">
        <f t="shared" ca="1" si="110"/>
        <v>567.88198619168065</v>
      </c>
      <c r="AF142" s="24">
        <f t="shared" si="110"/>
        <v>562.64617073170723</v>
      </c>
      <c r="AG142" s="25">
        <f t="shared" ca="1" si="104"/>
        <v>0.84628358250505686</v>
      </c>
    </row>
    <row r="143" spans="1:33">
      <c r="A143" s="2" t="s">
        <v>48</v>
      </c>
      <c r="B143" s="2" t="s">
        <v>44</v>
      </c>
      <c r="C143" s="24">
        <f t="shared" ref="C143:AF143" ca="1" si="111">C28*C$136</f>
        <v>2238771654.635747</v>
      </c>
      <c r="D143" s="24">
        <f t="shared" ca="1" si="111"/>
        <v>2293493542.0575767</v>
      </c>
      <c r="E143" s="24">
        <f t="shared" ca="1" si="111"/>
        <v>2353699743.3189225</v>
      </c>
      <c r="F143" s="24">
        <f t="shared" ca="1" si="111"/>
        <v>2352546682.8430171</v>
      </c>
      <c r="G143" s="24">
        <f t="shared" ca="1" si="111"/>
        <v>2369220454.4428554</v>
      </c>
      <c r="H143" s="24">
        <f t="shared" ca="1" si="111"/>
        <v>2386592897.7432957</v>
      </c>
      <c r="I143" s="24">
        <f t="shared" ca="1" si="111"/>
        <v>2388587073.5470629</v>
      </c>
      <c r="J143" s="24">
        <f t="shared" ca="1" si="111"/>
        <v>2389262490.9374175</v>
      </c>
      <c r="K143" s="24">
        <f t="shared" ca="1" si="111"/>
        <v>2398453509.1591444</v>
      </c>
      <c r="L143" s="24">
        <f t="shared" ca="1" si="111"/>
        <v>2399842712.9471955</v>
      </c>
      <c r="M143" s="24">
        <f t="shared" ca="1" si="111"/>
        <v>2389515608.187336</v>
      </c>
      <c r="N143" s="24">
        <f t="shared" ca="1" si="111"/>
        <v>2381063833.8773866</v>
      </c>
      <c r="O143" s="24">
        <f t="shared" ca="1" si="111"/>
        <v>2370301016.9031644</v>
      </c>
      <c r="P143" s="24">
        <f t="shared" ca="1" si="111"/>
        <v>2358302760.0506544</v>
      </c>
      <c r="Q143" s="24">
        <f t="shared" ca="1" si="111"/>
        <v>2348152886.8917542</v>
      </c>
      <c r="R143" s="24">
        <f t="shared" ca="1" si="111"/>
        <v>2338068126.68225</v>
      </c>
      <c r="S143" s="24">
        <f t="shared" ca="1" si="111"/>
        <v>2333219913.285316</v>
      </c>
      <c r="T143" s="24">
        <f t="shared" ca="1" si="111"/>
        <v>2326177789.8271341</v>
      </c>
      <c r="U143" s="24">
        <f t="shared" ca="1" si="111"/>
        <v>2316958390.1175599</v>
      </c>
      <c r="V143" s="24">
        <f t="shared" ca="1" si="111"/>
        <v>2305381651.4331751</v>
      </c>
      <c r="W143" s="24">
        <f t="shared" ca="1" si="111"/>
        <v>2298974469.9404197</v>
      </c>
      <c r="X143" s="24">
        <f t="shared" ca="1" si="111"/>
        <v>2295946998.2627144</v>
      </c>
      <c r="Y143" s="24">
        <f t="shared" ca="1" si="111"/>
        <v>2290854358.2585487</v>
      </c>
      <c r="Z143" s="24">
        <f t="shared" ca="1" si="111"/>
        <v>2282529604.1730003</v>
      </c>
      <c r="AA143" s="24">
        <f t="shared" ca="1" si="111"/>
        <v>2275516428.0430813</v>
      </c>
      <c r="AB143" s="24">
        <f t="shared" ca="1" si="111"/>
        <v>2269500920.3294234</v>
      </c>
      <c r="AC143" s="24">
        <f t="shared" ca="1" si="111"/>
        <v>2258033632.5675621</v>
      </c>
      <c r="AD143" s="24">
        <f t="shared" ca="1" si="111"/>
        <v>2243528890.5228863</v>
      </c>
      <c r="AE143" s="24">
        <f t="shared" ca="1" si="111"/>
        <v>2233873608.5760045</v>
      </c>
      <c r="AF143" s="24">
        <f t="shared" si="111"/>
        <v>2232440663.4466763</v>
      </c>
      <c r="AG143" s="25">
        <f t="shared" ca="1" si="104"/>
        <v>0.99717211392418637</v>
      </c>
    </row>
    <row r="144" spans="1:33">
      <c r="A144" s="2"/>
      <c r="B144" s="2" t="s">
        <v>14</v>
      </c>
      <c r="C144" s="24">
        <f t="shared" ref="C144:AF144" ca="1" si="112">C29*C$136</f>
        <v>14982.742045220966</v>
      </c>
      <c r="D144" s="24">
        <f t="shared" ca="1" si="112"/>
        <v>15280.507143905916</v>
      </c>
      <c r="E144" s="24">
        <f t="shared" ca="1" si="112"/>
        <v>15813.673044204639</v>
      </c>
      <c r="F144" s="24">
        <f t="shared" ca="1" si="112"/>
        <v>15791.729378420312</v>
      </c>
      <c r="G144" s="24">
        <f t="shared" ca="1" si="112"/>
        <v>15821.822247315598</v>
      </c>
      <c r="H144" s="24">
        <f t="shared" ca="1" si="112"/>
        <v>15938.396199678815</v>
      </c>
      <c r="I144" s="24">
        <f t="shared" ca="1" si="112"/>
        <v>15856.642186511717</v>
      </c>
      <c r="J144" s="24">
        <f t="shared" ca="1" si="112"/>
        <v>15785.011806538405</v>
      </c>
      <c r="K144" s="24">
        <f t="shared" ca="1" si="112"/>
        <v>15774.123466814593</v>
      </c>
      <c r="L144" s="24">
        <f t="shared" ca="1" si="112"/>
        <v>15772.353717958438</v>
      </c>
      <c r="M144" s="24">
        <f t="shared" ca="1" si="112"/>
        <v>15649.532799622235</v>
      </c>
      <c r="N144" s="24">
        <f t="shared" ca="1" si="112"/>
        <v>15582.943729813653</v>
      </c>
      <c r="O144" s="24">
        <f t="shared" ca="1" si="112"/>
        <v>15460.087252402271</v>
      </c>
      <c r="P144" s="24">
        <f t="shared" ca="1" si="112"/>
        <v>15346.465622230864</v>
      </c>
      <c r="Q144" s="24">
        <f t="shared" ca="1" si="112"/>
        <v>15284.392018005172</v>
      </c>
      <c r="R144" s="24">
        <f t="shared" ca="1" si="112"/>
        <v>15197.991541603094</v>
      </c>
      <c r="S144" s="24">
        <f t="shared" ca="1" si="112"/>
        <v>15133.668163394868</v>
      </c>
      <c r="T144" s="24">
        <f t="shared" ca="1" si="112"/>
        <v>15090.430069246398</v>
      </c>
      <c r="U144" s="24">
        <f t="shared" ca="1" si="112"/>
        <v>15024.203017759004</v>
      </c>
      <c r="V144" s="24">
        <f t="shared" ca="1" si="112"/>
        <v>14976.300595557623</v>
      </c>
      <c r="W144" s="24">
        <f t="shared" ca="1" si="112"/>
        <v>14965.47163808776</v>
      </c>
      <c r="X144" s="24">
        <f t="shared" ca="1" si="112"/>
        <v>14989.88662808865</v>
      </c>
      <c r="Y144" s="24">
        <f t="shared" ca="1" si="112"/>
        <v>15033.847080165211</v>
      </c>
      <c r="Z144" s="24">
        <f t="shared" ca="1" si="112"/>
        <v>14999.066174242147</v>
      </c>
      <c r="AA144" s="24">
        <f t="shared" ca="1" si="112"/>
        <v>15052.759681377203</v>
      </c>
      <c r="AB144" s="24">
        <f t="shared" ca="1" si="112"/>
        <v>15049.874364798974</v>
      </c>
      <c r="AC144" s="24">
        <f t="shared" ca="1" si="112"/>
        <v>14994.377394918241</v>
      </c>
      <c r="AD144" s="24">
        <f t="shared" ca="1" si="112"/>
        <v>14967.8695718252</v>
      </c>
      <c r="AE144" s="24">
        <f t="shared" ca="1" si="112"/>
        <v>14946.15571405204</v>
      </c>
      <c r="AF144" s="24">
        <f t="shared" si="112"/>
        <v>14995.596317857422</v>
      </c>
      <c r="AG144" s="25">
        <f t="shared" ca="1" si="104"/>
        <v>1.0008579385934604</v>
      </c>
    </row>
    <row r="145" spans="1:33">
      <c r="A145" s="2"/>
      <c r="B145" s="2" t="s">
        <v>47</v>
      </c>
      <c r="C145" s="24">
        <f t="shared" ref="C145:AF145" ca="1" si="113">C30*C$136</f>
        <v>1641.4228838643371</v>
      </c>
      <c r="D145" s="24">
        <f t="shared" ca="1" si="113"/>
        <v>1683.369536967363</v>
      </c>
      <c r="E145" s="24">
        <f t="shared" ca="1" si="113"/>
        <v>1686.3943570732458</v>
      </c>
      <c r="F145" s="24">
        <f t="shared" ca="1" si="113"/>
        <v>1684.1914223640997</v>
      </c>
      <c r="G145" s="24">
        <f t="shared" ca="1" si="113"/>
        <v>1692.1542144907212</v>
      </c>
      <c r="H145" s="24">
        <f t="shared" ca="1" si="113"/>
        <v>1698.7887989680451</v>
      </c>
      <c r="I145" s="24">
        <f t="shared" ca="1" si="113"/>
        <v>1695.2361335492474</v>
      </c>
      <c r="J145" s="24">
        <f t="shared" ca="1" si="113"/>
        <v>1691.2237120735838</v>
      </c>
      <c r="K145" s="24">
        <f t="shared" ca="1" si="113"/>
        <v>1690.5132879289467</v>
      </c>
      <c r="L145" s="24">
        <f t="shared" ca="1" si="113"/>
        <v>1693.1750618456679</v>
      </c>
      <c r="M145" s="24">
        <f t="shared" ca="1" si="113"/>
        <v>1684.1356431683391</v>
      </c>
      <c r="N145" s="24">
        <f t="shared" ca="1" si="113"/>
        <v>1681.3858310696419</v>
      </c>
      <c r="O145" s="24">
        <f t="shared" ca="1" si="113"/>
        <v>1673.4384405010007</v>
      </c>
      <c r="P145" s="24">
        <f t="shared" ca="1" si="113"/>
        <v>1663.5253755728359</v>
      </c>
      <c r="Q145" s="24">
        <f t="shared" ca="1" si="113"/>
        <v>1655.7303033819346</v>
      </c>
      <c r="R145" s="24">
        <f t="shared" ca="1" si="113"/>
        <v>1647.5922585410758</v>
      </c>
      <c r="S145" s="24">
        <f t="shared" ca="1" si="113"/>
        <v>1644.5425236044578</v>
      </c>
      <c r="T145" s="24">
        <f t="shared" ca="1" si="113"/>
        <v>1643.8329920836686</v>
      </c>
      <c r="U145" s="24">
        <f t="shared" ca="1" si="113"/>
        <v>1642.2139421684408</v>
      </c>
      <c r="V145" s="24">
        <f t="shared" ca="1" si="113"/>
        <v>1638.3728246830824</v>
      </c>
      <c r="W145" s="24">
        <f t="shared" ca="1" si="113"/>
        <v>1633.8508345047849</v>
      </c>
      <c r="X145" s="24">
        <f t="shared" ca="1" si="113"/>
        <v>1629.7715321461587</v>
      </c>
      <c r="Y145" s="24">
        <f t="shared" ca="1" si="113"/>
        <v>1624.7814789750528</v>
      </c>
      <c r="Z145" s="24">
        <f t="shared" ca="1" si="113"/>
        <v>1620.3150945680816</v>
      </c>
      <c r="AA145" s="24">
        <f t="shared" ca="1" si="113"/>
        <v>1616.6802942957077</v>
      </c>
      <c r="AB145" s="24">
        <f t="shared" ca="1" si="113"/>
        <v>1613.1420940965049</v>
      </c>
      <c r="AC145" s="24">
        <f t="shared" ca="1" si="113"/>
        <v>1607.8454085127507</v>
      </c>
      <c r="AD145" s="24">
        <f t="shared" ca="1" si="113"/>
        <v>1602.4740677151724</v>
      </c>
      <c r="AE145" s="24">
        <f t="shared" ca="1" si="113"/>
        <v>1598.9309568170761</v>
      </c>
      <c r="AF145" s="24">
        <f t="shared" si="113"/>
        <v>1598.0198247196297</v>
      </c>
      <c r="AG145" s="25">
        <f t="shared" ca="1" si="104"/>
        <v>0.97355766172668112</v>
      </c>
    </row>
    <row r="146" spans="1:33">
      <c r="A146" s="2"/>
      <c r="B146" s="2" t="s">
        <v>49</v>
      </c>
      <c r="C146" s="24">
        <f t="shared" ref="C146:AF146" ca="1" si="114">C31*C$136</f>
        <v>3791.5688530318603</v>
      </c>
      <c r="D146" s="24">
        <f t="shared" ca="1" si="114"/>
        <v>4364.7193687389445</v>
      </c>
      <c r="E146" s="24">
        <f t="shared" ca="1" si="114"/>
        <v>4472.1890808942235</v>
      </c>
      <c r="F146" s="24">
        <f t="shared" ca="1" si="114"/>
        <v>4363.6533744181424</v>
      </c>
      <c r="G146" s="24">
        <f t="shared" ca="1" si="114"/>
        <v>4314.3243842245683</v>
      </c>
      <c r="H146" s="24">
        <f t="shared" ca="1" si="114"/>
        <v>4374.3936876358712</v>
      </c>
      <c r="I146" s="24">
        <f t="shared" ca="1" si="114"/>
        <v>4290.7936246130212</v>
      </c>
      <c r="J146" s="24">
        <f t="shared" ca="1" si="114"/>
        <v>4209.24874462557</v>
      </c>
      <c r="K146" s="24">
        <f t="shared" ca="1" si="114"/>
        <v>4137.5841474509243</v>
      </c>
      <c r="L146" s="24">
        <f t="shared" ca="1" si="114"/>
        <v>4060.0134170768915</v>
      </c>
      <c r="M146" s="24">
        <f t="shared" ca="1" si="114"/>
        <v>3971.0419384353122</v>
      </c>
      <c r="N146" s="24">
        <f t="shared" ca="1" si="114"/>
        <v>3924.1377201404007</v>
      </c>
      <c r="O146" s="24">
        <f t="shared" ca="1" si="114"/>
        <v>3863.2466267096611</v>
      </c>
      <c r="P146" s="24">
        <f t="shared" ca="1" si="114"/>
        <v>3825.2421722003041</v>
      </c>
      <c r="Q146" s="24">
        <f t="shared" ca="1" si="114"/>
        <v>3779.5485295697436</v>
      </c>
      <c r="R146" s="24">
        <f t="shared" ca="1" si="114"/>
        <v>3744.4769902292574</v>
      </c>
      <c r="S146" s="24">
        <f t="shared" ca="1" si="114"/>
        <v>3723.1493138763499</v>
      </c>
      <c r="T146" s="24">
        <f t="shared" ca="1" si="114"/>
        <v>3696.7288539090105</v>
      </c>
      <c r="U146" s="24">
        <f t="shared" ca="1" si="114"/>
        <v>3636.0547707414175</v>
      </c>
      <c r="V146" s="24">
        <f t="shared" ca="1" si="114"/>
        <v>3565.3333376336268</v>
      </c>
      <c r="W146" s="24">
        <f t="shared" ca="1" si="114"/>
        <v>3525.2907645396035</v>
      </c>
      <c r="X146" s="24">
        <f t="shared" ca="1" si="114"/>
        <v>3492.2327985719057</v>
      </c>
      <c r="Y146" s="24">
        <f t="shared" ca="1" si="114"/>
        <v>3445.6516618614696</v>
      </c>
      <c r="Z146" s="24">
        <f t="shared" ca="1" si="114"/>
        <v>3385.5095053723635</v>
      </c>
      <c r="AA146" s="24">
        <f t="shared" ca="1" si="114"/>
        <v>3315.498151662101</v>
      </c>
      <c r="AB146" s="24">
        <f t="shared" ca="1" si="114"/>
        <v>3257.5124450759185</v>
      </c>
      <c r="AC146" s="24">
        <f t="shared" ca="1" si="114"/>
        <v>3189.6758144607588</v>
      </c>
      <c r="AD146" s="24">
        <f t="shared" ca="1" si="114"/>
        <v>3093.9661108274927</v>
      </c>
      <c r="AE146" s="24">
        <f t="shared" ca="1" si="114"/>
        <v>3033.3984484796442</v>
      </c>
      <c r="AF146" s="24">
        <f t="shared" si="114"/>
        <v>3008.5037567249628</v>
      </c>
      <c r="AG146" s="25">
        <f t="shared" ca="1" si="104"/>
        <v>0.79347200943463458</v>
      </c>
    </row>
    <row r="147" spans="1:33">
      <c r="A147" s="2" t="s">
        <v>50</v>
      </c>
      <c r="B147" s="2" t="s">
        <v>46</v>
      </c>
      <c r="C147" s="24">
        <f t="shared" ref="C147:AF147" ca="1" si="115">C32*C$136</f>
        <v>25165.744458376157</v>
      </c>
      <c r="D147" s="24">
        <f t="shared" ca="1" si="115"/>
        <v>25863.986373013053</v>
      </c>
      <c r="E147" s="24">
        <f t="shared" ca="1" si="115"/>
        <v>26291.790495691508</v>
      </c>
      <c r="F147" s="24">
        <f t="shared" ca="1" si="115"/>
        <v>26142.003346043959</v>
      </c>
      <c r="G147" s="24">
        <f t="shared" ca="1" si="115"/>
        <v>25959.31575257744</v>
      </c>
      <c r="H147" s="24">
        <f t="shared" ca="1" si="115"/>
        <v>25716.034554772417</v>
      </c>
      <c r="I147" s="24">
        <f t="shared" ca="1" si="115"/>
        <v>25430.497345345542</v>
      </c>
      <c r="J147" s="24">
        <f t="shared" ca="1" si="115"/>
        <v>25130.376312061067</v>
      </c>
      <c r="K147" s="24">
        <f t="shared" ca="1" si="115"/>
        <v>24855.803419000411</v>
      </c>
      <c r="L147" s="24">
        <f t="shared" ca="1" si="115"/>
        <v>24611.421768782518</v>
      </c>
      <c r="M147" s="24">
        <f t="shared" ca="1" si="115"/>
        <v>24233.881672225205</v>
      </c>
      <c r="N147" s="24">
        <f t="shared" ca="1" si="115"/>
        <v>23850.342850309786</v>
      </c>
      <c r="O147" s="24">
        <f t="shared" ca="1" si="115"/>
        <v>23515.023066146576</v>
      </c>
      <c r="P147" s="24">
        <f t="shared" ca="1" si="115"/>
        <v>23193.330480252323</v>
      </c>
      <c r="Q147" s="24">
        <f t="shared" ca="1" si="115"/>
        <v>22872.91001082987</v>
      </c>
      <c r="R147" s="24">
        <f t="shared" ca="1" si="115"/>
        <v>22573.180432338693</v>
      </c>
      <c r="S147" s="24">
        <f t="shared" ca="1" si="115"/>
        <v>22304.695069014484</v>
      </c>
      <c r="T147" s="24">
        <f t="shared" ca="1" si="115"/>
        <v>22050.682658849695</v>
      </c>
      <c r="U147" s="24">
        <f t="shared" ca="1" si="115"/>
        <v>21821.118380100328</v>
      </c>
      <c r="V147" s="24">
        <f t="shared" ca="1" si="115"/>
        <v>21608.065678022806</v>
      </c>
      <c r="W147" s="24">
        <f t="shared" ca="1" si="115"/>
        <v>21406.067304188702</v>
      </c>
      <c r="X147" s="24">
        <f t="shared" ca="1" si="115"/>
        <v>21217.833723724845</v>
      </c>
      <c r="Y147" s="24">
        <f t="shared" ca="1" si="115"/>
        <v>21038.051455149478</v>
      </c>
      <c r="Z147" s="24">
        <f t="shared" ca="1" si="115"/>
        <v>20873.036378801073</v>
      </c>
      <c r="AA147" s="24">
        <f t="shared" ca="1" si="115"/>
        <v>20723.895861991416</v>
      </c>
      <c r="AB147" s="24">
        <f t="shared" ca="1" si="115"/>
        <v>20596.028679446223</v>
      </c>
      <c r="AC147" s="24">
        <f t="shared" ca="1" si="115"/>
        <v>20467.658017846214</v>
      </c>
      <c r="AD147" s="24">
        <f t="shared" ca="1" si="115"/>
        <v>20341.816295908531</v>
      </c>
      <c r="AE147" s="24">
        <f t="shared" ca="1" si="115"/>
        <v>20234.515487902092</v>
      </c>
      <c r="AF147" s="24">
        <f t="shared" si="115"/>
        <v>20148.175764253781</v>
      </c>
      <c r="AG147" s="25">
        <f t="shared" ca="1" si="104"/>
        <v>0.8006191033839124</v>
      </c>
    </row>
    <row r="148" spans="1:33">
      <c r="A148" s="2"/>
      <c r="B148" s="2" t="s">
        <v>51</v>
      </c>
      <c r="C148" s="24">
        <f t="shared" ref="C148:AF148" ca="1" si="116">C33*C$136</f>
        <v>11098.235605344296</v>
      </c>
      <c r="D148" s="24">
        <f t="shared" ca="1" si="116"/>
        <v>11158.037816402528</v>
      </c>
      <c r="E148" s="24">
        <f t="shared" ca="1" si="116"/>
        <v>11259.524584005994</v>
      </c>
      <c r="F148" s="24">
        <f t="shared" ca="1" si="116"/>
        <v>11137.912601539159</v>
      </c>
      <c r="G148" s="24">
        <f t="shared" ca="1" si="116"/>
        <v>11064.861403293184</v>
      </c>
      <c r="H148" s="24">
        <f t="shared" ca="1" si="116"/>
        <v>10964.872240400886</v>
      </c>
      <c r="I148" s="24">
        <f t="shared" ca="1" si="116"/>
        <v>10824.773903410174</v>
      </c>
      <c r="J148" s="24">
        <f t="shared" ca="1" si="116"/>
        <v>10683.068140395153</v>
      </c>
      <c r="K148" s="24">
        <f t="shared" ca="1" si="116"/>
        <v>10535.511416161145</v>
      </c>
      <c r="L148" s="24">
        <f t="shared" ca="1" si="116"/>
        <v>10388.832604121453</v>
      </c>
      <c r="M148" s="24">
        <f t="shared" ca="1" si="116"/>
        <v>10161.791510268205</v>
      </c>
      <c r="N148" s="24">
        <f t="shared" ca="1" si="116"/>
        <v>9959.4120001093179</v>
      </c>
      <c r="O148" s="24">
        <f t="shared" ca="1" si="116"/>
        <v>9772.6105759864058</v>
      </c>
      <c r="P148" s="24">
        <f t="shared" ca="1" si="116"/>
        <v>9582.6166154138591</v>
      </c>
      <c r="Q148" s="24">
        <f t="shared" ca="1" si="116"/>
        <v>9408.4934790953175</v>
      </c>
      <c r="R148" s="24">
        <f t="shared" ca="1" si="116"/>
        <v>9239.8516553200589</v>
      </c>
      <c r="S148" s="24">
        <f t="shared" ca="1" si="116"/>
        <v>9096.5626358873014</v>
      </c>
      <c r="T148" s="24">
        <f t="shared" ca="1" si="116"/>
        <v>8963.8897935792302</v>
      </c>
      <c r="U148" s="24">
        <f t="shared" ca="1" si="116"/>
        <v>8828.0238511175285</v>
      </c>
      <c r="V148" s="24">
        <f t="shared" ca="1" si="116"/>
        <v>8704.8950094472129</v>
      </c>
      <c r="W148" s="24">
        <f t="shared" ca="1" si="116"/>
        <v>8587.3092840655245</v>
      </c>
      <c r="X148" s="24">
        <f t="shared" ca="1" si="116"/>
        <v>8489.6273262331415</v>
      </c>
      <c r="Y148" s="24">
        <f t="shared" ca="1" si="116"/>
        <v>8395.7215766822592</v>
      </c>
      <c r="Z148" s="24">
        <f t="shared" ca="1" si="116"/>
        <v>8296.8335538196498</v>
      </c>
      <c r="AA148" s="24">
        <f t="shared" ca="1" si="116"/>
        <v>8197.5370418107923</v>
      </c>
      <c r="AB148" s="24">
        <f t="shared" ca="1" si="116"/>
        <v>8107.4673381465664</v>
      </c>
      <c r="AC148" s="24">
        <f t="shared" ca="1" si="116"/>
        <v>8005.44695590014</v>
      </c>
      <c r="AD148" s="24">
        <f t="shared" ca="1" si="116"/>
        <v>7892.8241619687733</v>
      </c>
      <c r="AE148" s="24">
        <f t="shared" ca="1" si="116"/>
        <v>7797.1744732487568</v>
      </c>
      <c r="AF148" s="24">
        <f t="shared" si="116"/>
        <v>7718.8803427966432</v>
      </c>
      <c r="AG148" s="25">
        <f t="shared" ca="1" si="104"/>
        <v>0.69550517913673204</v>
      </c>
    </row>
    <row r="149" spans="1:33">
      <c r="A149" s="2"/>
      <c r="B149" s="2" t="s">
        <v>14</v>
      </c>
      <c r="C149" s="24">
        <f t="shared" ref="C149:AF149" ca="1" si="117">C34*C$136</f>
        <v>1918.3530154162386</v>
      </c>
      <c r="D149" s="24">
        <f t="shared" ca="1" si="117"/>
        <v>1892.0998393910354</v>
      </c>
      <c r="E149" s="24">
        <f t="shared" ca="1" si="117"/>
        <v>1917.30002737056</v>
      </c>
      <c r="F149" s="24">
        <f t="shared" ca="1" si="117"/>
        <v>1919.6234046020525</v>
      </c>
      <c r="G149" s="24">
        <f t="shared" ca="1" si="117"/>
        <v>1902.355169716021</v>
      </c>
      <c r="H149" s="24">
        <f t="shared" ca="1" si="117"/>
        <v>1892.2109605864596</v>
      </c>
      <c r="I149" s="24">
        <f t="shared" ca="1" si="117"/>
        <v>1887.0415523075824</v>
      </c>
      <c r="J149" s="24">
        <f t="shared" ca="1" si="117"/>
        <v>1929.1576998483388</v>
      </c>
      <c r="K149" s="24">
        <f t="shared" ca="1" si="117"/>
        <v>1991.3247450089173</v>
      </c>
      <c r="L149" s="24">
        <f t="shared" ca="1" si="117"/>
        <v>2034.2778377719198</v>
      </c>
      <c r="M149" s="24">
        <f t="shared" ca="1" si="117"/>
        <v>2081.3653581948151</v>
      </c>
      <c r="N149" s="24">
        <f t="shared" ca="1" si="117"/>
        <v>2126.9215064099344</v>
      </c>
      <c r="O149" s="24">
        <f t="shared" ca="1" si="117"/>
        <v>2173.5779106346577</v>
      </c>
      <c r="P149" s="24">
        <f t="shared" ca="1" si="117"/>
        <v>2229.174749847195</v>
      </c>
      <c r="Q149" s="24">
        <f t="shared" ca="1" si="117"/>
        <v>2244.4961267461786</v>
      </c>
      <c r="R149" s="24">
        <f t="shared" ca="1" si="117"/>
        <v>2270.8252264177704</v>
      </c>
      <c r="S149" s="24">
        <f t="shared" ca="1" si="117"/>
        <v>2305.8009632934759</v>
      </c>
      <c r="T149" s="24">
        <f t="shared" ca="1" si="117"/>
        <v>2332.3106217845275</v>
      </c>
      <c r="U149" s="24">
        <f t="shared" ca="1" si="117"/>
        <v>2364.4166605825362</v>
      </c>
      <c r="V149" s="24">
        <f t="shared" ca="1" si="117"/>
        <v>2403.1468703242813</v>
      </c>
      <c r="W149" s="24">
        <f t="shared" ca="1" si="117"/>
        <v>2432.5424169050511</v>
      </c>
      <c r="X149" s="24">
        <f t="shared" ca="1" si="117"/>
        <v>2447.0362872176897</v>
      </c>
      <c r="Y149" s="24">
        <f t="shared" ca="1" si="117"/>
        <v>2472.4104043076181</v>
      </c>
      <c r="Z149" s="24">
        <f t="shared" ca="1" si="117"/>
        <v>2493.7084871806283</v>
      </c>
      <c r="AA149" s="24">
        <f t="shared" ca="1" si="117"/>
        <v>2509.9813580961504</v>
      </c>
      <c r="AB149" s="24">
        <f t="shared" ca="1" si="117"/>
        <v>2530.6409951105088</v>
      </c>
      <c r="AC149" s="24">
        <f t="shared" ca="1" si="117"/>
        <v>2558.5360855718823</v>
      </c>
      <c r="AD149" s="24">
        <f t="shared" ca="1" si="117"/>
        <v>2586.8040681656234</v>
      </c>
      <c r="AE149" s="24">
        <f t="shared" ca="1" si="117"/>
        <v>2598.7477761215514</v>
      </c>
      <c r="AF149" s="24">
        <f t="shared" si="117"/>
        <v>2619.4591615559566</v>
      </c>
      <c r="AG149" s="25">
        <f t="shared" ca="1" si="104"/>
        <v>1.3654729554495444</v>
      </c>
    </row>
    <row r="150" spans="1:33">
      <c r="B150" s="2" t="s">
        <v>44</v>
      </c>
      <c r="C150" s="24">
        <f t="shared" ref="C150:AF150" ca="1" si="118">C35*C$136</f>
        <v>3448622.3617430627</v>
      </c>
      <c r="D150" s="24">
        <f t="shared" ca="1" si="118"/>
        <v>4710636.9287564019</v>
      </c>
      <c r="E150" s="24">
        <f t="shared" ca="1" si="118"/>
        <v>6164997.1485906234</v>
      </c>
      <c r="F150" s="24">
        <f t="shared" ca="1" si="118"/>
        <v>7763911.8531540083</v>
      </c>
      <c r="G150" s="24">
        <f t="shared" ca="1" si="118"/>
        <v>9459554.2428049948</v>
      </c>
      <c r="H150" s="24">
        <f t="shared" ca="1" si="118"/>
        <v>11247072.895967033</v>
      </c>
      <c r="I150" s="24">
        <f t="shared" ca="1" si="118"/>
        <v>13054758.269581277</v>
      </c>
      <c r="J150" s="24">
        <f t="shared" ca="1" si="118"/>
        <v>14840390.186050765</v>
      </c>
      <c r="K150" s="24">
        <f t="shared" ca="1" si="118"/>
        <v>16630481.647728289</v>
      </c>
      <c r="L150" s="24">
        <f t="shared" ca="1" si="118"/>
        <v>18435859.828456238</v>
      </c>
      <c r="M150" s="24">
        <f t="shared" ca="1" si="118"/>
        <v>20115348.354049262</v>
      </c>
      <c r="N150" s="24">
        <f t="shared" ca="1" si="118"/>
        <v>21735303.49578749</v>
      </c>
      <c r="O150" s="24">
        <f t="shared" ca="1" si="118"/>
        <v>23335106.271527838</v>
      </c>
      <c r="P150" s="24">
        <f t="shared" ca="1" si="118"/>
        <v>24914119.433663048</v>
      </c>
      <c r="Q150" s="24">
        <f t="shared" ca="1" si="118"/>
        <v>26448138.183791704</v>
      </c>
      <c r="R150" s="24">
        <f t="shared" ca="1" si="118"/>
        <v>27956209.596302517</v>
      </c>
      <c r="S150" s="24">
        <f t="shared" ca="1" si="118"/>
        <v>29446461.363398738</v>
      </c>
      <c r="T150" s="24">
        <f t="shared" ca="1" si="118"/>
        <v>30913119.73579954</v>
      </c>
      <c r="U150" s="24">
        <f t="shared" ca="1" si="118"/>
        <v>32353982.312564701</v>
      </c>
      <c r="V150" s="24">
        <f t="shared" ca="1" si="118"/>
        <v>33771956.714180693</v>
      </c>
      <c r="W150" s="24">
        <f t="shared" ca="1" si="118"/>
        <v>35140724.162527867</v>
      </c>
      <c r="X150" s="24">
        <f t="shared" ca="1" si="118"/>
        <v>36471147.854464628</v>
      </c>
      <c r="Y150" s="24">
        <f t="shared" ca="1" si="118"/>
        <v>37790143.442776322</v>
      </c>
      <c r="Z150" s="24">
        <f t="shared" ca="1" si="118"/>
        <v>39109149.592904635</v>
      </c>
      <c r="AA150" s="24">
        <f t="shared" ca="1" si="118"/>
        <v>40369089.240210362</v>
      </c>
      <c r="AB150" s="24">
        <f t="shared" ca="1" si="118"/>
        <v>41611950.792523943</v>
      </c>
      <c r="AC150" s="24">
        <f t="shared" ca="1" si="118"/>
        <v>42811742.97160051</v>
      </c>
      <c r="AD150" s="24">
        <f t="shared" ca="1" si="118"/>
        <v>43972430.814397924</v>
      </c>
      <c r="AE150" s="24">
        <f t="shared" ca="1" si="118"/>
        <v>45126769.30750747</v>
      </c>
      <c r="AF150" s="24">
        <f t="shared" si="118"/>
        <v>46279365.081995919</v>
      </c>
      <c r="AG150" s="25">
        <f ca="1">AF150/D150</f>
        <v>9.8244389839260169</v>
      </c>
    </row>
    <row r="151" spans="1:33">
      <c r="A151" s="21"/>
    </row>
    <row r="152" spans="1:33">
      <c r="B152" s="23" t="s">
        <v>64</v>
      </c>
      <c r="C152" s="23">
        <v>2021</v>
      </c>
      <c r="D152" s="23">
        <v>2022</v>
      </c>
      <c r="E152" s="23">
        <v>2023</v>
      </c>
      <c r="F152" s="23">
        <v>2024</v>
      </c>
      <c r="G152" s="23">
        <v>2025</v>
      </c>
      <c r="H152" s="23">
        <v>2026</v>
      </c>
      <c r="I152" s="23">
        <v>2027</v>
      </c>
      <c r="J152" s="23">
        <v>2028</v>
      </c>
      <c r="K152" s="23">
        <v>2029</v>
      </c>
      <c r="L152" s="23">
        <v>2030</v>
      </c>
      <c r="M152" s="23">
        <v>2031</v>
      </c>
      <c r="N152" s="23">
        <v>2032</v>
      </c>
      <c r="O152" s="23">
        <v>2033</v>
      </c>
      <c r="P152" s="23">
        <v>2034</v>
      </c>
      <c r="Q152" s="23">
        <v>2035</v>
      </c>
      <c r="R152" s="23">
        <v>2036</v>
      </c>
      <c r="S152" s="23">
        <v>2037</v>
      </c>
      <c r="T152" s="23">
        <v>2038</v>
      </c>
      <c r="U152" s="23">
        <v>2039</v>
      </c>
      <c r="V152" s="23">
        <v>2040</v>
      </c>
      <c r="W152" s="23">
        <v>2041</v>
      </c>
      <c r="X152" s="23">
        <v>2042</v>
      </c>
      <c r="Y152" s="23">
        <v>2043</v>
      </c>
      <c r="Z152" s="23">
        <v>2044</v>
      </c>
      <c r="AA152" s="23">
        <v>2045</v>
      </c>
      <c r="AB152" s="23">
        <v>2046</v>
      </c>
      <c r="AC152" s="23">
        <v>2047</v>
      </c>
      <c r="AD152" s="23">
        <v>2048</v>
      </c>
      <c r="AE152" s="23">
        <v>2049</v>
      </c>
      <c r="AF152" s="23">
        <v>2050</v>
      </c>
    </row>
    <row r="153" spans="1:33">
      <c r="A153" s="2" t="s">
        <v>43</v>
      </c>
      <c r="B153" s="2" t="s">
        <v>44</v>
      </c>
      <c r="C153" s="9"/>
      <c r="D153" s="27">
        <f t="shared" ref="D153:AF153" ca="1" si="119">(D137-C137)/D137</f>
        <v>-4.264742362932572E-2</v>
      </c>
      <c r="E153" s="27">
        <f t="shared" ca="1" si="119"/>
        <v>3.7780478496794161E-2</v>
      </c>
      <c r="F153" s="27">
        <f t="shared" ca="1" si="119"/>
        <v>5.4097637442026645E-3</v>
      </c>
      <c r="G153" s="27">
        <f t="shared" ca="1" si="119"/>
        <v>3.6600378428908406E-3</v>
      </c>
      <c r="H153" s="27">
        <f t="shared" ca="1" si="119"/>
        <v>1.351617429678002E-3</v>
      </c>
      <c r="I153" s="27">
        <f t="shared" ca="1" si="119"/>
        <v>3.4427443476857384E-4</v>
      </c>
      <c r="J153" s="27">
        <f t="shared" ca="1" si="119"/>
        <v>3.7226578586112605E-4</v>
      </c>
      <c r="K153" s="27">
        <f t="shared" ca="1" si="119"/>
        <v>7.5845862858750068E-4</v>
      </c>
      <c r="L153" s="27">
        <f t="shared" ca="1" si="119"/>
        <v>-1.2482955223163891E-3</v>
      </c>
      <c r="M153" s="27">
        <f t="shared" ca="1" si="119"/>
        <v>-7.3860522490143393E-3</v>
      </c>
      <c r="N153" s="27">
        <f t="shared" ca="1" si="119"/>
        <v>-6.4397575764506198E-3</v>
      </c>
      <c r="O153" s="27">
        <f t="shared" ca="1" si="119"/>
        <v>-5.2473177856176287E-3</v>
      </c>
      <c r="P153" s="27">
        <f t="shared" ca="1" si="119"/>
        <v>-4.2105938844104003E-3</v>
      </c>
      <c r="Q153" s="27">
        <f t="shared" ca="1" si="119"/>
        <v>-3.4439915322278399E-3</v>
      </c>
      <c r="R153" s="27">
        <f t="shared" ca="1" si="119"/>
        <v>-3.2416728574368456E-3</v>
      </c>
      <c r="S153" s="27">
        <f t="shared" ca="1" si="119"/>
        <v>-2.5112947651007365E-3</v>
      </c>
      <c r="T153" s="27">
        <f t="shared" ca="1" si="119"/>
        <v>-2.5565334447141073E-3</v>
      </c>
      <c r="U153" s="27">
        <f t="shared" ca="1" si="119"/>
        <v>-2.7040143060076479E-3</v>
      </c>
      <c r="V153" s="27">
        <f t="shared" ca="1" si="119"/>
        <v>-3.5116683745256665E-3</v>
      </c>
      <c r="W153" s="27">
        <f t="shared" ca="1" si="119"/>
        <v>-3.8712804985236594E-3</v>
      </c>
      <c r="X153" s="27">
        <f t="shared" ca="1" si="119"/>
        <v>-3.0590403803852175E-3</v>
      </c>
      <c r="Y153" s="27">
        <f t="shared" ca="1" si="119"/>
        <v>-2.4891717460729735E-3</v>
      </c>
      <c r="Z153" s="27">
        <f t="shared" ca="1" si="119"/>
        <v>-1.7998311592106072E-3</v>
      </c>
      <c r="AA153" s="27">
        <f t="shared" ca="1" si="119"/>
        <v>-1.4966415738682209E-3</v>
      </c>
      <c r="AB153" s="27">
        <f t="shared" ca="1" si="119"/>
        <v>-1.213369614246006E-3</v>
      </c>
      <c r="AC153" s="27">
        <f t="shared" ca="1" si="119"/>
        <v>-1.1826621538511483E-3</v>
      </c>
      <c r="AD153" s="27">
        <f t="shared" ca="1" si="119"/>
        <v>-5.5927636444780097E-4</v>
      </c>
      <c r="AE153" s="27">
        <f t="shared" ca="1" si="119"/>
        <v>7.3846832733185885E-5</v>
      </c>
      <c r="AF153" s="27">
        <f t="shared" ca="1" si="119"/>
        <v>6.6192039677530725E-4</v>
      </c>
    </row>
    <row r="154" spans="1:33">
      <c r="A154" s="2"/>
      <c r="B154" s="2" t="s">
        <v>14</v>
      </c>
      <c r="C154" s="9"/>
      <c r="D154" s="27">
        <f t="shared" ref="D154:AF154" ca="1" si="120">(D138-C138)/D138</f>
        <v>-3.8916016692742104E-2</v>
      </c>
      <c r="E154" s="27">
        <f t="shared" ca="1" si="120"/>
        <v>8.8218353413744913E-2</v>
      </c>
      <c r="F154" s="27">
        <f t="shared" ca="1" si="120"/>
        <v>2.4019176984189684E-3</v>
      </c>
      <c r="G154" s="27">
        <f t="shared" ca="1" si="120"/>
        <v>3.7099532591664135E-5</v>
      </c>
      <c r="H154" s="27">
        <f t="shared" ca="1" si="120"/>
        <v>-5.1011245820898792E-3</v>
      </c>
      <c r="I154" s="27">
        <f t="shared" ca="1" si="120"/>
        <v>-7.3576061892708213E-3</v>
      </c>
      <c r="J154" s="27">
        <f t="shared" ca="1" si="120"/>
        <v>-8.7852977248360203E-3</v>
      </c>
      <c r="K154" s="27">
        <f t="shared" ca="1" si="120"/>
        <v>-1.0018226078653247E-2</v>
      </c>
      <c r="L154" s="27">
        <f t="shared" ca="1" si="120"/>
        <v>-9.1359106666772938E-3</v>
      </c>
      <c r="M154" s="27">
        <f t="shared" ca="1" si="120"/>
        <v>-1.4969209998237362E-2</v>
      </c>
      <c r="N154" s="27">
        <f t="shared" ca="1" si="120"/>
        <v>-1.4072513222355287E-2</v>
      </c>
      <c r="O154" s="27">
        <f t="shared" ca="1" si="120"/>
        <v>-1.4234544852157196E-2</v>
      </c>
      <c r="P154" s="27">
        <f t="shared" ca="1" si="120"/>
        <v>-1.3531370854802946E-2</v>
      </c>
      <c r="Q154" s="27">
        <f t="shared" ca="1" si="120"/>
        <v>-1.2587272221575369E-2</v>
      </c>
      <c r="R154" s="27">
        <f t="shared" ca="1" si="120"/>
        <v>-1.2355180666746506E-2</v>
      </c>
      <c r="S154" s="27">
        <f t="shared" ca="1" si="120"/>
        <v>-1.2615014251777187E-2</v>
      </c>
      <c r="T154" s="27">
        <f t="shared" ca="1" si="120"/>
        <v>-1.2637800686097714E-2</v>
      </c>
      <c r="U154" s="27">
        <f t="shared" ca="1" si="120"/>
        <v>-1.2467687939575601E-2</v>
      </c>
      <c r="V154" s="27">
        <f t="shared" ca="1" si="120"/>
        <v>-1.21724562491439E-2</v>
      </c>
      <c r="W154" s="27">
        <f t="shared" ca="1" si="120"/>
        <v>-1.2039156190264728E-2</v>
      </c>
      <c r="X154" s="27">
        <f t="shared" ca="1" si="120"/>
        <v>-1.1953656869148521E-2</v>
      </c>
      <c r="Y154" s="27">
        <f t="shared" ca="1" si="120"/>
        <v>-1.1939399242210082E-2</v>
      </c>
      <c r="Z154" s="27">
        <f t="shared" ca="1" si="120"/>
        <v>-1.1424671106490321E-2</v>
      </c>
      <c r="AA154" s="27">
        <f t="shared" ca="1" si="120"/>
        <v>-1.1650775267521993E-2</v>
      </c>
      <c r="AB154" s="27">
        <f t="shared" ca="1" si="120"/>
        <v>-1.1788085976392845E-2</v>
      </c>
      <c r="AC154" s="27">
        <f t="shared" ca="1" si="120"/>
        <v>-1.1946548551661221E-2</v>
      </c>
      <c r="AD154" s="27">
        <f t="shared" ca="1" si="120"/>
        <v>-1.2034100369939554E-2</v>
      </c>
      <c r="AE154" s="27">
        <f t="shared" ca="1" si="120"/>
        <v>-1.2212091764302387E-2</v>
      </c>
      <c r="AF154" s="27">
        <f t="shared" ca="1" si="120"/>
        <v>-1.2334447439998989E-2</v>
      </c>
    </row>
    <row r="155" spans="1:33">
      <c r="A155" s="2" t="s">
        <v>45</v>
      </c>
      <c r="B155" s="2" t="s">
        <v>44</v>
      </c>
      <c r="C155" s="9"/>
      <c r="D155" s="27">
        <f t="shared" ref="D155:AF155" ca="1" si="121">(D139-C139)/D139</f>
        <v>3.2847966394140208E-3</v>
      </c>
      <c r="E155" s="27">
        <f t="shared" ca="1" si="121"/>
        <v>3.6627220066872122E-3</v>
      </c>
      <c r="F155" s="27">
        <f t="shared" ca="1" si="121"/>
        <v>-2.0364154442960238E-3</v>
      </c>
      <c r="G155" s="27">
        <f t="shared" ca="1" si="121"/>
        <v>-1.7515922203160811E-3</v>
      </c>
      <c r="H155" s="27">
        <f t="shared" ca="1" si="121"/>
        <v>-5.0638484992060074E-3</v>
      </c>
      <c r="I155" s="27">
        <f t="shared" ca="1" si="121"/>
        <v>-1.9265705279631414E-3</v>
      </c>
      <c r="J155" s="27">
        <f t="shared" ca="1" si="121"/>
        <v>-2.4103786252736852E-3</v>
      </c>
      <c r="K155" s="27">
        <f t="shared" ca="1" si="121"/>
        <v>-2.0843625925964213E-3</v>
      </c>
      <c r="L155" s="27">
        <f t="shared" ca="1" si="121"/>
        <v>-5.0590959562566724E-3</v>
      </c>
      <c r="M155" s="27">
        <f t="shared" ca="1" si="121"/>
        <v>-9.3780678940369455E-3</v>
      </c>
      <c r="N155" s="27">
        <f t="shared" ca="1" si="121"/>
        <v>-8.1554723266935789E-3</v>
      </c>
      <c r="O155" s="27">
        <f t="shared" ca="1" si="121"/>
        <v>-6.5966446883325399E-3</v>
      </c>
      <c r="P155" s="27">
        <f t="shared" ca="1" si="121"/>
        <v>-5.3475353674062118E-3</v>
      </c>
      <c r="Q155" s="27">
        <f t="shared" ca="1" si="121"/>
        <v>-4.7024985331010722E-3</v>
      </c>
      <c r="R155" s="27">
        <f t="shared" ca="1" si="121"/>
        <v>-4.6212437177079917E-3</v>
      </c>
      <c r="S155" s="27">
        <f t="shared" ca="1" si="121"/>
        <v>-4.2793800435825154E-3</v>
      </c>
      <c r="T155" s="27">
        <f t="shared" ca="1" si="121"/>
        <v>-3.9746606728000723E-3</v>
      </c>
      <c r="U155" s="27">
        <f t="shared" ca="1" si="121"/>
        <v>-4.5524240432449781E-3</v>
      </c>
      <c r="V155" s="27">
        <f t="shared" ca="1" si="121"/>
        <v>-5.3394929801368601E-3</v>
      </c>
      <c r="W155" s="27">
        <f t="shared" ca="1" si="121"/>
        <v>-4.0950509748663736E-3</v>
      </c>
      <c r="X155" s="27">
        <f t="shared" ca="1" si="121"/>
        <v>-3.029058997786879E-3</v>
      </c>
      <c r="Y155" s="27">
        <f t="shared" ca="1" si="121"/>
        <v>-2.4120007785658816E-3</v>
      </c>
      <c r="Z155" s="27">
        <f t="shared" ca="1" si="121"/>
        <v>-2.3264177534115444E-3</v>
      </c>
      <c r="AA155" s="27">
        <f t="shared" ca="1" si="121"/>
        <v>-1.7981169974283515E-3</v>
      </c>
      <c r="AB155" s="27">
        <f t="shared" ca="1" si="121"/>
        <v>-2.7490886885745032E-3</v>
      </c>
      <c r="AC155" s="27">
        <f t="shared" ca="1" si="121"/>
        <v>-1.8977830420798586E-3</v>
      </c>
      <c r="AD155" s="27">
        <f t="shared" ca="1" si="121"/>
        <v>-1.8194986110405271E-3</v>
      </c>
      <c r="AE155" s="27">
        <f t="shared" ca="1" si="121"/>
        <v>-7.4091428718342858E-4</v>
      </c>
      <c r="AF155" s="27">
        <f t="shared" ca="1" si="121"/>
        <v>-4.361421622593624E-4</v>
      </c>
    </row>
    <row r="156" spans="1:33">
      <c r="A156" s="2"/>
      <c r="B156" s="2" t="s">
        <v>14</v>
      </c>
      <c r="C156" s="9"/>
      <c r="D156" s="27">
        <f t="shared" ref="D156:AF156" ca="1" si="122">(D140-C140)/D140</f>
        <v>3.056199476957986E-2</v>
      </c>
      <c r="E156" s="27">
        <f t="shared" ca="1" si="122"/>
        <v>-1.6846897608437994E-2</v>
      </c>
      <c r="F156" s="27">
        <f t="shared" ca="1" si="122"/>
        <v>6.5896449639631593E-4</v>
      </c>
      <c r="G156" s="27">
        <f t="shared" ca="1" si="122"/>
        <v>2.9003854973132632E-3</v>
      </c>
      <c r="H156" s="27">
        <f t="shared" ca="1" si="122"/>
        <v>-1.2066447922885902E-3</v>
      </c>
      <c r="I156" s="27">
        <f t="shared" ca="1" si="122"/>
        <v>2.3096762489309692E-3</v>
      </c>
      <c r="J156" s="27">
        <f t="shared" ca="1" si="122"/>
        <v>-1.9529464519604386E-3</v>
      </c>
      <c r="K156" s="27">
        <f t="shared" ca="1" si="122"/>
        <v>-5.4461011378851574E-3</v>
      </c>
      <c r="L156" s="27">
        <f t="shared" ca="1" si="122"/>
        <v>-4.7753138984417548E-3</v>
      </c>
      <c r="M156" s="27">
        <f t="shared" ca="1" si="122"/>
        <v>-9.3911121853283343E-3</v>
      </c>
      <c r="N156" s="27">
        <f t="shared" ca="1" si="122"/>
        <v>-8.0196460363479109E-3</v>
      </c>
      <c r="O156" s="27">
        <f t="shared" ca="1" si="122"/>
        <v>-8.7337149738974003E-3</v>
      </c>
      <c r="P156" s="27">
        <f t="shared" ca="1" si="122"/>
        <v>-7.7720790661934607E-3</v>
      </c>
      <c r="Q156" s="27">
        <f t="shared" ca="1" si="122"/>
        <v>-6.5461075509738306E-3</v>
      </c>
      <c r="R156" s="27">
        <f t="shared" ca="1" si="122"/>
        <v>-6.6951108183313842E-3</v>
      </c>
      <c r="S156" s="27">
        <f t="shared" ca="1" si="122"/>
        <v>-7.734681507107855E-3</v>
      </c>
      <c r="T156" s="27">
        <f t="shared" ca="1" si="122"/>
        <v>-8.2790613388668936E-3</v>
      </c>
      <c r="U156" s="27">
        <f t="shared" ca="1" si="122"/>
        <v>-8.4376790453792889E-3</v>
      </c>
      <c r="V156" s="27">
        <f t="shared" ca="1" si="122"/>
        <v>-8.4442999827288243E-3</v>
      </c>
      <c r="W156" s="27">
        <f t="shared" ca="1" si="122"/>
        <v>-8.2115790132095811E-3</v>
      </c>
      <c r="X156" s="27">
        <f t="shared" ca="1" si="122"/>
        <v>-8.0444411135961996E-3</v>
      </c>
      <c r="Y156" s="27">
        <f t="shared" ca="1" si="122"/>
        <v>-8.0790639193674026E-3</v>
      </c>
      <c r="Z156" s="27">
        <f t="shared" ca="1" si="122"/>
        <v>-7.4499921053711371E-3</v>
      </c>
      <c r="AA156" s="27">
        <f t="shared" ca="1" si="122"/>
        <v>-7.6539938593127872E-3</v>
      </c>
      <c r="AB156" s="27">
        <f t="shared" ca="1" si="122"/>
        <v>-7.9233767185494606E-3</v>
      </c>
      <c r="AC156" s="27">
        <f t="shared" ca="1" si="122"/>
        <v>-8.1985143413808061E-3</v>
      </c>
      <c r="AD156" s="27">
        <f t="shared" ca="1" si="122"/>
        <v>-8.2999529874456454E-3</v>
      </c>
      <c r="AE156" s="27">
        <f t="shared" ca="1" si="122"/>
        <v>-8.5761582505941621E-3</v>
      </c>
      <c r="AF156" s="27">
        <f t="shared" ca="1" si="122"/>
        <v>-8.7714316120020772E-3</v>
      </c>
    </row>
    <row r="157" spans="1:33">
      <c r="A157" s="2"/>
      <c r="B157" s="2" t="s">
        <v>46</v>
      </c>
      <c r="C157" s="9"/>
      <c r="D157" s="27">
        <f t="shared" ref="D157:AF157" ca="1" si="123">(D141-C141)/D141</f>
        <v>1.327055470873839E-3</v>
      </c>
      <c r="E157" s="27">
        <f t="shared" ca="1" si="123"/>
        <v>8.9096835911077147E-3</v>
      </c>
      <c r="F157" s="27">
        <f t="shared" ca="1" si="123"/>
        <v>-9.3287749610896189E-4</v>
      </c>
      <c r="G157" s="27">
        <f t="shared" ca="1" si="123"/>
        <v>1.5102984253580753E-3</v>
      </c>
      <c r="H157" s="27">
        <f t="shared" ca="1" si="123"/>
        <v>-3.826521326322764E-4</v>
      </c>
      <c r="I157" s="27">
        <f t="shared" ca="1" si="123"/>
        <v>1.4171821045276718E-3</v>
      </c>
      <c r="J157" s="27">
        <f t="shared" ca="1" si="123"/>
        <v>-1.0525052731854053E-3</v>
      </c>
      <c r="K157" s="27">
        <f t="shared" ca="1" si="123"/>
        <v>-1.1905629447262968E-3</v>
      </c>
      <c r="L157" s="27">
        <f t="shared" ca="1" si="123"/>
        <v>-2.8152616788204399E-3</v>
      </c>
      <c r="M157" s="27">
        <f t="shared" ca="1" si="123"/>
        <v>-7.6916463548559405E-3</v>
      </c>
      <c r="N157" s="27">
        <f t="shared" ca="1" si="123"/>
        <v>-7.5441246924802131E-3</v>
      </c>
      <c r="O157" s="27">
        <f t="shared" ca="1" si="123"/>
        <v>-6.6188425364809567E-3</v>
      </c>
      <c r="P157" s="27">
        <f t="shared" ca="1" si="123"/>
        <v>-7.1220628416814643E-3</v>
      </c>
      <c r="Q157" s="27">
        <f t="shared" ca="1" si="123"/>
        <v>-6.4595934755448149E-3</v>
      </c>
      <c r="R157" s="27">
        <f t="shared" ca="1" si="123"/>
        <v>-7.0915064743095344E-3</v>
      </c>
      <c r="S157" s="27">
        <f t="shared" ca="1" si="123"/>
        <v>-7.0118365723598267E-3</v>
      </c>
      <c r="T157" s="27">
        <f t="shared" ca="1" si="123"/>
        <v>-7.5775851432236061E-3</v>
      </c>
      <c r="U157" s="27">
        <f t="shared" ca="1" si="123"/>
        <v>-6.0167266212068403E-3</v>
      </c>
      <c r="V157" s="27">
        <f t="shared" ca="1" si="123"/>
        <v>-7.3549886088460983E-3</v>
      </c>
      <c r="W157" s="27">
        <f t="shared" ca="1" si="123"/>
        <v>-6.633789102227017E-3</v>
      </c>
      <c r="X157" s="27">
        <f t="shared" ca="1" si="123"/>
        <v>-6.1725268909230066E-3</v>
      </c>
      <c r="Y157" s="27">
        <f t="shared" ca="1" si="123"/>
        <v>-7.2496875103632251E-3</v>
      </c>
      <c r="Z157" s="27">
        <f t="shared" ca="1" si="123"/>
        <v>-7.300225114629794E-3</v>
      </c>
      <c r="AA157" s="27">
        <f t="shared" ca="1" si="123"/>
        <v>-6.4557828226666763E-3</v>
      </c>
      <c r="AB157" s="27">
        <f t="shared" ca="1" si="123"/>
        <v>-7.1467424750155696E-3</v>
      </c>
      <c r="AC157" s="27">
        <f t="shared" ca="1" si="123"/>
        <v>-6.1141403096269644E-3</v>
      </c>
      <c r="AD157" s="27">
        <f t="shared" ca="1" si="123"/>
        <v>-5.7233246293469557E-3</v>
      </c>
      <c r="AE157" s="27">
        <f t="shared" ca="1" si="123"/>
        <v>-5.9058000640466995E-3</v>
      </c>
      <c r="AF157" s="27">
        <f t="shared" ca="1" si="123"/>
        <v>-5.8975407384923339E-3</v>
      </c>
    </row>
    <row r="158" spans="1:33">
      <c r="A158" s="2"/>
      <c r="B158" s="2" t="s">
        <v>47</v>
      </c>
      <c r="C158" s="28"/>
      <c r="D158" s="27">
        <f t="shared" ref="D158:AF158" ca="1" si="124">(D142-C142)/D142</f>
        <v>2.9392265931780664E-2</v>
      </c>
      <c r="E158" s="27">
        <f t="shared" ca="1" si="124"/>
        <v>4.9800071906242555E-2</v>
      </c>
      <c r="F158" s="27">
        <f t="shared" ca="1" si="124"/>
        <v>-6.6967206829607311E-3</v>
      </c>
      <c r="G158" s="27">
        <f t="shared" ca="1" si="124"/>
        <v>-5.3981650682555782E-3</v>
      </c>
      <c r="H158" s="27">
        <f t="shared" ca="1" si="124"/>
        <v>-5.2937145314609635E-3</v>
      </c>
      <c r="I158" s="27">
        <f t="shared" ca="1" si="124"/>
        <v>5.9760187787686551E-3</v>
      </c>
      <c r="J158" s="27">
        <f t="shared" ca="1" si="124"/>
        <v>-2.9984178538560596E-4</v>
      </c>
      <c r="K158" s="27">
        <f t="shared" ca="1" si="124"/>
        <v>-4.07731843390839E-3</v>
      </c>
      <c r="L158" s="27">
        <f t="shared" ca="1" si="124"/>
        <v>-4.4749619242437678E-3</v>
      </c>
      <c r="M158" s="27">
        <f t="shared" ca="1" si="124"/>
        <v>-1.1642288088277374E-2</v>
      </c>
      <c r="N158" s="27">
        <f t="shared" ca="1" si="124"/>
        <v>-1.1636101655716147E-2</v>
      </c>
      <c r="O158" s="27">
        <f t="shared" ca="1" si="124"/>
        <v>-1.1368856641028293E-2</v>
      </c>
      <c r="P158" s="27">
        <f t="shared" ca="1" si="124"/>
        <v>-1.0575680622400127E-2</v>
      </c>
      <c r="Q158" s="27">
        <f t="shared" ca="1" si="124"/>
        <v>-1.082710954575323E-2</v>
      </c>
      <c r="R158" s="27">
        <f t="shared" ca="1" si="124"/>
        <v>-1.1410438323217245E-2</v>
      </c>
      <c r="S158" s="27">
        <f t="shared" ca="1" si="124"/>
        <v>-1.2596348992571173E-2</v>
      </c>
      <c r="T158" s="27">
        <f t="shared" ca="1" si="124"/>
        <v>-1.2334236338574766E-2</v>
      </c>
      <c r="U158" s="27">
        <f t="shared" ca="1" si="124"/>
        <v>-1.1468675342546612E-2</v>
      </c>
      <c r="V158" s="27">
        <f t="shared" ca="1" si="124"/>
        <v>-1.206743796059794E-2</v>
      </c>
      <c r="W158" s="27">
        <f t="shared" ca="1" si="124"/>
        <v>-1.1799359085997914E-2</v>
      </c>
      <c r="X158" s="27">
        <f t="shared" ca="1" si="124"/>
        <v>-1.0922092164503551E-2</v>
      </c>
      <c r="Y158" s="27">
        <f t="shared" ca="1" si="124"/>
        <v>-1.1930400847841915E-2</v>
      </c>
      <c r="Z158" s="27">
        <f t="shared" ca="1" si="124"/>
        <v>-1.2951927416456578E-2</v>
      </c>
      <c r="AA158" s="27">
        <f t="shared" ca="1" si="124"/>
        <v>-1.2552020591047888E-2</v>
      </c>
      <c r="AB158" s="27">
        <f t="shared" ca="1" si="124"/>
        <v>-1.2215847213402879E-2</v>
      </c>
      <c r="AC158" s="27">
        <f t="shared" ca="1" si="124"/>
        <v>-1.1325120849548891E-2</v>
      </c>
      <c r="AD158" s="27">
        <f t="shared" ca="1" si="124"/>
        <v>-1.0288815256110266E-2</v>
      </c>
      <c r="AE158" s="27">
        <f t="shared" ca="1" si="124"/>
        <v>-9.7293822614554267E-3</v>
      </c>
      <c r="AF158" s="27">
        <f t="shared" ca="1" si="124"/>
        <v>-9.3056982031253788E-3</v>
      </c>
    </row>
    <row r="159" spans="1:33">
      <c r="A159" s="2" t="s">
        <v>48</v>
      </c>
      <c r="B159" s="2" t="s">
        <v>44</v>
      </c>
      <c r="C159" s="9"/>
      <c r="D159" s="27">
        <f t="shared" ref="D159:AF159" ca="1" si="125">(D143-C143)/D143</f>
        <v>2.3859621323693243E-2</v>
      </c>
      <c r="E159" s="27">
        <f t="shared" ca="1" si="125"/>
        <v>2.5579388973569692E-2</v>
      </c>
      <c r="F159" s="27">
        <f t="shared" ca="1" si="125"/>
        <v>-4.9013287783601482E-4</v>
      </c>
      <c r="G159" s="27">
        <f t="shared" ca="1" si="125"/>
        <v>7.0376615095361621E-3</v>
      </c>
      <c r="H159" s="27">
        <f t="shared" ca="1" si="125"/>
        <v>7.2791816806575061E-3</v>
      </c>
      <c r="I159" s="27">
        <f t="shared" ca="1" si="125"/>
        <v>8.3487674611160145E-4</v>
      </c>
      <c r="J159" s="27">
        <f t="shared" ca="1" si="125"/>
        <v>2.8268865096092309E-4</v>
      </c>
      <c r="K159" s="27">
        <f t="shared" ca="1" si="125"/>
        <v>3.832060194883287E-3</v>
      </c>
      <c r="L159" s="27">
        <f t="shared" ca="1" si="125"/>
        <v>5.7887284885644729E-4</v>
      </c>
      <c r="M159" s="27">
        <f t="shared" ca="1" si="125"/>
        <v>-4.3218402610450436E-3</v>
      </c>
      <c r="N159" s="27">
        <f t="shared" ca="1" si="125"/>
        <v>-3.5495790535721621E-3</v>
      </c>
      <c r="O159" s="27">
        <f t="shared" ca="1" si="125"/>
        <v>-4.5406962649343048E-3</v>
      </c>
      <c r="P159" s="27">
        <f t="shared" ca="1" si="125"/>
        <v>-5.0876660349802854E-3</v>
      </c>
      <c r="Q159" s="27">
        <f t="shared" ca="1" si="125"/>
        <v>-4.322492464421953E-3</v>
      </c>
      <c r="R159" s="27">
        <f t="shared" ca="1" si="125"/>
        <v>-4.313287578927196E-3</v>
      </c>
      <c r="S159" s="27">
        <f t="shared" ca="1" si="125"/>
        <v>-2.0779067456643862E-3</v>
      </c>
      <c r="T159" s="27">
        <f t="shared" ca="1" si="125"/>
        <v>-3.0273367276476238E-3</v>
      </c>
      <c r="U159" s="27">
        <f t="shared" ca="1" si="125"/>
        <v>-3.9790959340907459E-3</v>
      </c>
      <c r="V159" s="27">
        <f t="shared" ca="1" si="125"/>
        <v>-5.0216148277175583E-3</v>
      </c>
      <c r="W159" s="27">
        <f t="shared" ca="1" si="125"/>
        <v>-2.7869737470035765E-3</v>
      </c>
      <c r="X159" s="27">
        <f t="shared" ca="1" si="125"/>
        <v>-1.3186156649069424E-3</v>
      </c>
      <c r="Y159" s="27">
        <f t="shared" ca="1" si="125"/>
        <v>-2.2230308905525314E-3</v>
      </c>
      <c r="Z159" s="27">
        <f t="shared" ca="1" si="125"/>
        <v>-3.6471614958810588E-3</v>
      </c>
      <c r="AA159" s="27">
        <f t="shared" ca="1" si="125"/>
        <v>-3.0820151608179358E-3</v>
      </c>
      <c r="AB159" s="27">
        <f t="shared" ca="1" si="125"/>
        <v>-2.6505861530052568E-3</v>
      </c>
      <c r="AC159" s="27">
        <f t="shared" ca="1" si="125"/>
        <v>-5.0784397523885036E-3</v>
      </c>
      <c r="AD159" s="27">
        <f t="shared" ca="1" si="125"/>
        <v>-6.4651460945953278E-3</v>
      </c>
      <c r="AE159" s="27">
        <f t="shared" ca="1" si="125"/>
        <v>-4.3222149676751791E-3</v>
      </c>
      <c r="AF159" s="27">
        <f t="shared" ca="1" si="125"/>
        <v>-6.4187378092097627E-4</v>
      </c>
    </row>
    <row r="160" spans="1:33">
      <c r="A160" s="2"/>
      <c r="B160" s="2" t="s">
        <v>14</v>
      </c>
      <c r="C160" s="9"/>
      <c r="D160" s="27">
        <f t="shared" ref="D160:AF160" ca="1" si="126">(D144-C144)/D144</f>
        <v>1.9486597917249257E-2</v>
      </c>
      <c r="E160" s="27">
        <f t="shared" ca="1" si="126"/>
        <v>3.3715500428543196E-2</v>
      </c>
      <c r="F160" s="27">
        <f t="shared" ca="1" si="126"/>
        <v>-1.3895669852545421E-3</v>
      </c>
      <c r="G160" s="27">
        <f t="shared" ca="1" si="126"/>
        <v>1.9019850194810521E-3</v>
      </c>
      <c r="H160" s="27">
        <f t="shared" ca="1" si="126"/>
        <v>7.314032786157343E-3</v>
      </c>
      <c r="I160" s="27">
        <f t="shared" ca="1" si="126"/>
        <v>-5.1558212770066005E-3</v>
      </c>
      <c r="J160" s="27">
        <f t="shared" ca="1" si="126"/>
        <v>-4.5378730691631062E-3</v>
      </c>
      <c r="K160" s="27">
        <f t="shared" ca="1" si="126"/>
        <v>-6.9026591218955503E-4</v>
      </c>
      <c r="L160" s="27">
        <f t="shared" ca="1" si="126"/>
        <v>-1.1220575494323554E-4</v>
      </c>
      <c r="M160" s="27">
        <f t="shared" ca="1" si="126"/>
        <v>-7.848216295579637E-3</v>
      </c>
      <c r="N160" s="27">
        <f t="shared" ca="1" si="126"/>
        <v>-4.2732022243770615E-3</v>
      </c>
      <c r="O160" s="27">
        <f t="shared" ca="1" si="126"/>
        <v>-7.9466871955908205E-3</v>
      </c>
      <c r="P160" s="27">
        <f t="shared" ca="1" si="126"/>
        <v>-7.4037653338769127E-3</v>
      </c>
      <c r="Q160" s="27">
        <f t="shared" ca="1" si="126"/>
        <v>-4.0612413076404237E-3</v>
      </c>
      <c r="R160" s="27">
        <f t="shared" ca="1" si="126"/>
        <v>-5.6849930575079014E-3</v>
      </c>
      <c r="S160" s="27">
        <f t="shared" ca="1" si="126"/>
        <v>-4.2503494535324048E-3</v>
      </c>
      <c r="T160" s="27">
        <f t="shared" ca="1" si="126"/>
        <v>-2.8652658638660716E-3</v>
      </c>
      <c r="U160" s="27">
        <f t="shared" ca="1" si="126"/>
        <v>-4.4080242665193153E-3</v>
      </c>
      <c r="V160" s="27">
        <f t="shared" ca="1" si="126"/>
        <v>-3.198548392891533E-3</v>
      </c>
      <c r="W160" s="27">
        <f t="shared" ca="1" si="126"/>
        <v>-7.2359613727794017E-4</v>
      </c>
      <c r="X160" s="27">
        <f t="shared" ca="1" si="126"/>
        <v>1.6287641532352103E-3</v>
      </c>
      <c r="Y160" s="27">
        <f t="shared" ca="1" si="126"/>
        <v>2.9240986583240888E-3</v>
      </c>
      <c r="Z160" s="27">
        <f t="shared" ca="1" si="126"/>
        <v>-2.318871422995195E-3</v>
      </c>
      <c r="AA160" s="27">
        <f t="shared" ca="1" si="126"/>
        <v>3.567020816886101E-3</v>
      </c>
      <c r="AB160" s="27">
        <f t="shared" ca="1" si="126"/>
        <v>-1.9171698768316342E-4</v>
      </c>
      <c r="AC160" s="27">
        <f t="shared" ca="1" si="126"/>
        <v>-3.7011853456176969E-3</v>
      </c>
      <c r="AD160" s="27">
        <f t="shared" ca="1" si="126"/>
        <v>-1.770981699555846E-3</v>
      </c>
      <c r="AE160" s="27">
        <f t="shared" ca="1" si="126"/>
        <v>-1.4528055366601989E-3</v>
      </c>
      <c r="AF160" s="27">
        <f t="shared" ca="1" si="126"/>
        <v>3.2970081854301492E-3</v>
      </c>
    </row>
    <row r="161" spans="1:32">
      <c r="A161" s="2"/>
      <c r="B161" s="2" t="s">
        <v>47</v>
      </c>
      <c r="C161" s="9"/>
      <c r="D161" s="27">
        <f t="shared" ref="D161:AF161" ca="1" si="127">(D145-C145)/D145</f>
        <v>2.491826790366778E-2</v>
      </c>
      <c r="E161" s="27">
        <f t="shared" ca="1" si="127"/>
        <v>1.7936611879634057E-3</v>
      </c>
      <c r="F161" s="27">
        <f t="shared" ca="1" si="127"/>
        <v>-1.3080073202450233E-3</v>
      </c>
      <c r="G161" s="27">
        <f t="shared" ca="1" si="127"/>
        <v>4.7057130245176859E-3</v>
      </c>
      <c r="H161" s="27">
        <f t="shared" ca="1" si="127"/>
        <v>3.9054792928668639E-3</v>
      </c>
      <c r="I161" s="27">
        <f t="shared" ca="1" si="127"/>
        <v>-2.0956758462666882E-3</v>
      </c>
      <c r="J161" s="27">
        <f t="shared" ca="1" si="127"/>
        <v>-2.3724959903406377E-3</v>
      </c>
      <c r="K161" s="27">
        <f t="shared" ca="1" si="127"/>
        <v>-4.2024168026942165E-4</v>
      </c>
      <c r="L161" s="27">
        <f t="shared" ca="1" si="127"/>
        <v>1.5720606667922626E-3</v>
      </c>
      <c r="M161" s="27">
        <f t="shared" ca="1" si="127"/>
        <v>-5.3673934840088163E-3</v>
      </c>
      <c r="N161" s="27">
        <f t="shared" ca="1" si="127"/>
        <v>-1.635443839173968E-3</v>
      </c>
      <c r="O161" s="27">
        <f t="shared" ca="1" si="127"/>
        <v>-4.7491382869523533E-3</v>
      </c>
      <c r="P161" s="27">
        <f t="shared" ca="1" si="127"/>
        <v>-5.959070461880581E-3</v>
      </c>
      <c r="Q161" s="27">
        <f t="shared" ca="1" si="127"/>
        <v>-4.7079359331524623E-3</v>
      </c>
      <c r="R161" s="27">
        <f t="shared" ca="1" si="127"/>
        <v>-4.9393560807726522E-3</v>
      </c>
      <c r="S161" s="27">
        <f t="shared" ca="1" si="127"/>
        <v>-1.8544579375994099E-3</v>
      </c>
      <c r="T161" s="27">
        <f t="shared" ca="1" si="127"/>
        <v>-4.3163236424021572E-4</v>
      </c>
      <c r="U161" s="27">
        <f t="shared" ca="1" si="127"/>
        <v>-9.858946350741484E-4</v>
      </c>
      <c r="V161" s="27">
        <f t="shared" ca="1" si="127"/>
        <v>-2.3444709454951964E-3</v>
      </c>
      <c r="W161" s="27">
        <f t="shared" ca="1" si="127"/>
        <v>-2.7676885079096769E-3</v>
      </c>
      <c r="X161" s="27">
        <f t="shared" ca="1" si="127"/>
        <v>-2.50299031377381E-3</v>
      </c>
      <c r="Y161" s="27">
        <f t="shared" ca="1" si="127"/>
        <v>-3.0712149514738368E-3</v>
      </c>
      <c r="Z161" s="27">
        <f t="shared" ca="1" si="127"/>
        <v>-2.7564912663865424E-3</v>
      </c>
      <c r="AA161" s="27">
        <f t="shared" ca="1" si="127"/>
        <v>-2.2483111133344957E-3</v>
      </c>
      <c r="AB161" s="27">
        <f t="shared" ca="1" si="127"/>
        <v>-2.1933592906360857E-3</v>
      </c>
      <c r="AC161" s="27">
        <f t="shared" ca="1" si="127"/>
        <v>-3.2942754046569726E-3</v>
      </c>
      <c r="AD161" s="27">
        <f t="shared" ca="1" si="127"/>
        <v>-3.351904973561829E-3</v>
      </c>
      <c r="AE161" s="27">
        <f t="shared" ca="1" si="127"/>
        <v>-2.2159248859309234E-3</v>
      </c>
      <c r="AF161" s="27">
        <f t="shared" ca="1" si="127"/>
        <v>-5.7016320032591259E-4</v>
      </c>
    </row>
    <row r="162" spans="1:32">
      <c r="A162" s="2"/>
      <c r="B162" s="2" t="s">
        <v>49</v>
      </c>
      <c r="C162" s="9"/>
      <c r="D162" s="27">
        <f t="shared" ref="D162:AF162" ca="1" si="128">(D146-C146)/D146</f>
        <v>0.13131440243606748</v>
      </c>
      <c r="E162" s="27">
        <f t="shared" ca="1" si="128"/>
        <v>2.4030672722314822E-2</v>
      </c>
      <c r="F162" s="27">
        <f t="shared" ca="1" si="128"/>
        <v>-2.487266910620585E-2</v>
      </c>
      <c r="G162" s="27">
        <f t="shared" ca="1" si="128"/>
        <v>-1.143376941565793E-2</v>
      </c>
      <c r="H162" s="27">
        <f t="shared" ca="1" si="128"/>
        <v>1.3732029556710318E-2</v>
      </c>
      <c r="I162" s="27">
        <f t="shared" ca="1" si="128"/>
        <v>-1.9483589829000399E-2</v>
      </c>
      <c r="J162" s="27">
        <f t="shared" ca="1" si="128"/>
        <v>-1.9372787149148373E-2</v>
      </c>
      <c r="K162" s="27">
        <f t="shared" ca="1" si="128"/>
        <v>-1.7320396303914853E-2</v>
      </c>
      <c r="L162" s="27">
        <f t="shared" ca="1" si="128"/>
        <v>-1.9106028085464254E-2</v>
      </c>
      <c r="M162" s="27">
        <f t="shared" ca="1" si="128"/>
        <v>-2.2405071520507858E-2</v>
      </c>
      <c r="N162" s="27">
        <f t="shared" ca="1" si="128"/>
        <v>-1.1952745199073529E-2</v>
      </c>
      <c r="O162" s="27">
        <f t="shared" ca="1" si="128"/>
        <v>-1.5761637636528717E-2</v>
      </c>
      <c r="P162" s="27">
        <f t="shared" ca="1" si="128"/>
        <v>-9.9351760747468012E-3</v>
      </c>
      <c r="Q162" s="27">
        <f t="shared" ca="1" si="128"/>
        <v>-1.2089709200204996E-2</v>
      </c>
      <c r="R162" s="27">
        <f t="shared" ca="1" si="128"/>
        <v>-9.3662050620155965E-3</v>
      </c>
      <c r="S162" s="27">
        <f t="shared" ca="1" si="128"/>
        <v>-5.7283967294618661E-3</v>
      </c>
      <c r="T162" s="27">
        <f t="shared" ca="1" si="128"/>
        <v>-7.14698345792978E-3</v>
      </c>
      <c r="U162" s="27">
        <f t="shared" ca="1" si="128"/>
        <v>-1.6686790214444719E-2</v>
      </c>
      <c r="V162" s="27">
        <f t="shared" ca="1" si="128"/>
        <v>-1.9835854437871378E-2</v>
      </c>
      <c r="W162" s="27">
        <f t="shared" ca="1" si="128"/>
        <v>-1.1358658269214502E-2</v>
      </c>
      <c r="X162" s="27">
        <f t="shared" ca="1" si="128"/>
        <v>-9.4661403962577537E-3</v>
      </c>
      <c r="Y162" s="27">
        <f t="shared" ca="1" si="128"/>
        <v>-1.3518817710456328E-2</v>
      </c>
      <c r="Z162" s="27">
        <f t="shared" ca="1" si="128"/>
        <v>-1.7764580602614863E-2</v>
      </c>
      <c r="AA162" s="27">
        <f t="shared" ca="1" si="128"/>
        <v>-2.1116390511382102E-2</v>
      </c>
      <c r="AB162" s="27">
        <f t="shared" ca="1" si="128"/>
        <v>-1.7800609380275466E-2</v>
      </c>
      <c r="AC162" s="27">
        <f t="shared" ca="1" si="128"/>
        <v>-2.1267562774754296E-2</v>
      </c>
      <c r="AD162" s="27">
        <f t="shared" ca="1" si="128"/>
        <v>-3.0934308975888631E-2</v>
      </c>
      <c r="AE162" s="27">
        <f t="shared" ca="1" si="128"/>
        <v>-1.9966932592783943E-2</v>
      </c>
      <c r="AF162" s="27">
        <f t="shared" ca="1" si="128"/>
        <v>-8.2747750269660907E-3</v>
      </c>
    </row>
    <row r="163" spans="1:32">
      <c r="A163" s="2" t="s">
        <v>50</v>
      </c>
      <c r="B163" s="2" t="s">
        <v>46</v>
      </c>
      <c r="C163" s="9"/>
      <c r="D163" s="27">
        <f t="shared" ref="D163:AF163" ca="1" si="129">(D147-C147)/D147</f>
        <v>2.6996685838245483E-2</v>
      </c>
      <c r="E163" s="27">
        <f t="shared" ca="1" si="129"/>
        <v>1.6271395542595719E-2</v>
      </c>
      <c r="F163" s="27">
        <f t="shared" ca="1" si="129"/>
        <v>-5.7297502285805577E-3</v>
      </c>
      <c r="G163" s="27">
        <f t="shared" ca="1" si="129"/>
        <v>-7.0374579672185687E-3</v>
      </c>
      <c r="H163" s="27">
        <f t="shared" ca="1" si="129"/>
        <v>-9.4602920713479383E-3</v>
      </c>
      <c r="I163" s="27">
        <f t="shared" ca="1" si="129"/>
        <v>-1.1228140981644465E-2</v>
      </c>
      <c r="J163" s="27">
        <f t="shared" ca="1" si="129"/>
        <v>-1.1942560252885462E-2</v>
      </c>
      <c r="K163" s="27">
        <f t="shared" ca="1" si="129"/>
        <v>-1.1046631180336983E-2</v>
      </c>
      <c r="L163" s="27">
        <f t="shared" ca="1" si="129"/>
        <v>-9.9296031132939128E-3</v>
      </c>
      <c r="M163" s="27">
        <f t="shared" ca="1" si="129"/>
        <v>-1.5579018733512163E-2</v>
      </c>
      <c r="N163" s="27">
        <f t="shared" ca="1" si="129"/>
        <v>-1.6081061153820585E-2</v>
      </c>
      <c r="O163" s="27">
        <f t="shared" ca="1" si="129"/>
        <v>-1.4259810982110131E-2</v>
      </c>
      <c r="P163" s="27">
        <f t="shared" ca="1" si="129"/>
        <v>-1.3870047088241745E-2</v>
      </c>
      <c r="Q163" s="27">
        <f t="shared" ca="1" si="129"/>
        <v>-1.4008732132061065E-2</v>
      </c>
      <c r="R163" s="27">
        <f t="shared" ca="1" si="129"/>
        <v>-1.3278127970916289E-2</v>
      </c>
      <c r="S163" s="27">
        <f t="shared" ca="1" si="129"/>
        <v>-1.2037168071272449E-2</v>
      </c>
      <c r="T163" s="27">
        <f t="shared" ca="1" si="129"/>
        <v>-1.1519480557344332E-2</v>
      </c>
      <c r="U163" s="27">
        <f t="shared" ca="1" si="129"/>
        <v>-1.0520280159366955E-2</v>
      </c>
      <c r="V163" s="27">
        <f t="shared" ca="1" si="129"/>
        <v>-9.8598692382823889E-3</v>
      </c>
      <c r="W163" s="27">
        <f t="shared" ca="1" si="129"/>
        <v>-9.4365009211466282E-3</v>
      </c>
      <c r="X163" s="27">
        <f t="shared" ca="1" si="129"/>
        <v>-8.8714796672849042E-3</v>
      </c>
      <c r="Y163" s="27">
        <f t="shared" ca="1" si="129"/>
        <v>-8.5455760462721918E-3</v>
      </c>
      <c r="Z163" s="27">
        <f t="shared" ca="1" si="129"/>
        <v>-7.9056574881456506E-3</v>
      </c>
      <c r="AA163" s="27">
        <f t="shared" ca="1" si="129"/>
        <v>-7.1965482650001023E-3</v>
      </c>
      <c r="AB163" s="27">
        <f t="shared" ca="1" si="129"/>
        <v>-6.208341643687736E-3</v>
      </c>
      <c r="AC163" s="27">
        <f t="shared" ca="1" si="129"/>
        <v>-6.2718783696737437E-3</v>
      </c>
      <c r="AD163" s="27">
        <f t="shared" ca="1" si="129"/>
        <v>-6.1863562283272482E-3</v>
      </c>
      <c r="AE163" s="27">
        <f t="shared" ca="1" si="129"/>
        <v>-5.3028602572961379E-3</v>
      </c>
      <c r="AF163" s="27">
        <f t="shared" ca="1" si="129"/>
        <v>-4.285237763385589E-3</v>
      </c>
    </row>
    <row r="164" spans="1:32">
      <c r="B164" s="2" t="s">
        <v>51</v>
      </c>
      <c r="C164" s="9"/>
      <c r="D164" s="27">
        <f t="shared" ref="D164:AF164" ca="1" si="130">(D148-C148)/D148</f>
        <v>5.3595633965607369E-3</v>
      </c>
      <c r="E164" s="27">
        <f t="shared" ca="1" si="130"/>
        <v>9.0134149844680878E-3</v>
      </c>
      <c r="F164" s="27">
        <f t="shared" ca="1" si="130"/>
        <v>-1.0918740954209787E-2</v>
      </c>
      <c r="G164" s="27">
        <f t="shared" ca="1" si="130"/>
        <v>-6.6020888634207194E-3</v>
      </c>
      <c r="H164" s="27">
        <f t="shared" ca="1" si="130"/>
        <v>-9.1190449555700551E-3</v>
      </c>
      <c r="I164" s="27">
        <f t="shared" ca="1" si="130"/>
        <v>-1.2942379974012753E-2</v>
      </c>
      <c r="J164" s="27">
        <f t="shared" ca="1" si="130"/>
        <v>-1.3264519251655699E-2</v>
      </c>
      <c r="K164" s="27">
        <f t="shared" ca="1" si="130"/>
        <v>-1.400565367976918E-2</v>
      </c>
      <c r="L164" s="27">
        <f t="shared" ca="1" si="130"/>
        <v>-1.4118892625288997E-2</v>
      </c>
      <c r="M164" s="27">
        <f t="shared" ca="1" si="130"/>
        <v>-2.2342624686191314E-2</v>
      </c>
      <c r="N164" s="27">
        <f t="shared" ca="1" si="130"/>
        <v>-2.0320427567075867E-2</v>
      </c>
      <c r="O164" s="27">
        <f t="shared" ca="1" si="130"/>
        <v>-1.911479257977668E-2</v>
      </c>
      <c r="P164" s="27">
        <f t="shared" ca="1" si="130"/>
        <v>-1.9826939571696633E-2</v>
      </c>
      <c r="Q164" s="27">
        <f t="shared" ca="1" si="130"/>
        <v>-1.85070156774222E-2</v>
      </c>
      <c r="R164" s="27">
        <f t="shared" ca="1" si="130"/>
        <v>-1.8251572651402821E-2</v>
      </c>
      <c r="S164" s="27">
        <f t="shared" ca="1" si="130"/>
        <v>-1.5751996129555662E-2</v>
      </c>
      <c r="T164" s="27">
        <f t="shared" ca="1" si="130"/>
        <v>-1.480081140701929E-2</v>
      </c>
      <c r="U164" s="27">
        <f t="shared" ca="1" si="130"/>
        <v>-1.5390300791326318E-2</v>
      </c>
      <c r="V164" s="27">
        <f t="shared" ca="1" si="130"/>
        <v>-1.4144781934381375E-2</v>
      </c>
      <c r="W164" s="27">
        <f t="shared" ca="1" si="130"/>
        <v>-1.3692964989613065E-2</v>
      </c>
      <c r="X164" s="27">
        <f t="shared" ca="1" si="130"/>
        <v>-1.1506036022399182E-2</v>
      </c>
      <c r="Y164" s="27">
        <f t="shared" ca="1" si="130"/>
        <v>-1.1184952799255535E-2</v>
      </c>
      <c r="Z164" s="27">
        <f t="shared" ca="1" si="130"/>
        <v>-1.1918766625983948E-2</v>
      </c>
      <c r="AA164" s="27">
        <f t="shared" ca="1" si="130"/>
        <v>-1.2112968993296966E-2</v>
      </c>
      <c r="AB164" s="27">
        <f t="shared" ca="1" si="130"/>
        <v>-1.1109474748105072E-2</v>
      </c>
      <c r="AC164" s="27">
        <f t="shared" ca="1" si="130"/>
        <v>-1.2743870867976429E-2</v>
      </c>
      <c r="AD164" s="27">
        <f t="shared" ca="1" si="130"/>
        <v>-1.4269010891441707E-2</v>
      </c>
      <c r="AE164" s="27">
        <f t="shared" ca="1" si="130"/>
        <v>-1.2267224370594753E-2</v>
      </c>
      <c r="AF164" s="27">
        <f t="shared" ca="1" si="130"/>
        <v>-1.014319784412499E-2</v>
      </c>
    </row>
    <row r="165" spans="1:32">
      <c r="A165" s="2"/>
      <c r="B165" s="2" t="s">
        <v>14</v>
      </c>
      <c r="C165" s="9"/>
      <c r="D165" s="27">
        <f t="shared" ref="D165:AF165" ca="1" si="131">(D149-C149)/D149</f>
        <v>-1.387515366718315E-2</v>
      </c>
      <c r="E165" s="27">
        <f t="shared" ca="1" si="131"/>
        <v>1.3143580879245503E-2</v>
      </c>
      <c r="F165" s="27">
        <f t="shared" ca="1" si="131"/>
        <v>1.210329706296811E-3</v>
      </c>
      <c r="G165" s="27">
        <f t="shared" ca="1" si="131"/>
        <v>-9.0772928004864677E-3</v>
      </c>
      <c r="H165" s="27">
        <f t="shared" ca="1" si="131"/>
        <v>-5.3610349695984221E-3</v>
      </c>
      <c r="I165" s="27">
        <f t="shared" ca="1" si="131"/>
        <v>-2.7394247214936793E-3</v>
      </c>
      <c r="J165" s="27">
        <f t="shared" ca="1" si="131"/>
        <v>2.1831365856750527E-2</v>
      </c>
      <c r="K165" s="27">
        <f t="shared" ca="1" si="131"/>
        <v>3.1218938707207242E-2</v>
      </c>
      <c r="L165" s="27">
        <f t="shared" ca="1" si="131"/>
        <v>2.1114663870126879E-2</v>
      </c>
      <c r="M165" s="27">
        <f t="shared" ca="1" si="131"/>
        <v>2.2623380483152981E-2</v>
      </c>
      <c r="N165" s="27">
        <f t="shared" ca="1" si="131"/>
        <v>2.1418819678030446E-2</v>
      </c>
      <c r="O165" s="27">
        <f t="shared" ca="1" si="131"/>
        <v>2.1465255050876073E-2</v>
      </c>
      <c r="P165" s="27">
        <f t="shared" ca="1" si="131"/>
        <v>2.4940547714506635E-2</v>
      </c>
      <c r="Q165" s="27">
        <f t="shared" ca="1" si="131"/>
        <v>6.8261988588034575E-3</v>
      </c>
      <c r="R165" s="27">
        <f t="shared" ca="1" si="131"/>
        <v>1.1594507303023948E-2</v>
      </c>
      <c r="S165" s="27">
        <f t="shared" ca="1" si="131"/>
        <v>1.5168584553693703E-2</v>
      </c>
      <c r="T165" s="27">
        <f t="shared" ca="1" si="131"/>
        <v>1.1366264100263019E-2</v>
      </c>
      <c r="U165" s="27">
        <f t="shared" ca="1" si="131"/>
        <v>1.3578841383268959E-2</v>
      </c>
      <c r="V165" s="27">
        <f t="shared" ca="1" si="131"/>
        <v>1.6116455560836691E-2</v>
      </c>
      <c r="W165" s="27">
        <f t="shared" ca="1" si="131"/>
        <v>1.2084289415257193E-2</v>
      </c>
      <c r="X165" s="27">
        <f t="shared" ca="1" si="131"/>
        <v>5.9230303973621494E-3</v>
      </c>
      <c r="Y165" s="27">
        <f t="shared" ca="1" si="131"/>
        <v>1.0262906613610637E-2</v>
      </c>
      <c r="Z165" s="27">
        <f t="shared" ca="1" si="131"/>
        <v>8.5407267860284665E-3</v>
      </c>
      <c r="AA165" s="27">
        <f t="shared" ca="1" si="131"/>
        <v>6.4832636557369972E-3</v>
      </c>
      <c r="AB165" s="27">
        <f t="shared" ca="1" si="131"/>
        <v>8.163796071538873E-3</v>
      </c>
      <c r="AC165" s="27">
        <f t="shared" ca="1" si="131"/>
        <v>1.090275435968235E-2</v>
      </c>
      <c r="AD165" s="27">
        <f t="shared" ca="1" si="131"/>
        <v>1.0927763312892427E-2</v>
      </c>
      <c r="AE165" s="27">
        <f t="shared" ca="1" si="131"/>
        <v>4.5959473503631408E-3</v>
      </c>
      <c r="AF165" s="27">
        <f t="shared" ca="1" si="131"/>
        <v>7.906741108383096E-3</v>
      </c>
    </row>
    <row r="166" spans="1:32">
      <c r="A166" s="2"/>
      <c r="B166" s="2" t="s">
        <v>44</v>
      </c>
      <c r="C166" s="9"/>
      <c r="D166" s="27">
        <f t="shared" ref="D166:AF166" ca="1" si="132">(D150-C150)/D150</f>
        <v>0.26790741593971845</v>
      </c>
      <c r="E166" s="27">
        <f t="shared" ca="1" si="132"/>
        <v>0.23590606528775152</v>
      </c>
      <c r="F166" s="27">
        <f t="shared" ca="1" si="132"/>
        <v>0.20594189305663516</v>
      </c>
      <c r="G166" s="27">
        <f t="shared" ca="1" si="132"/>
        <v>0.17925182795380706</v>
      </c>
      <c r="H166" s="27">
        <f t="shared" ca="1" si="132"/>
        <v>0.15893189896573046</v>
      </c>
      <c r="I166" s="27">
        <f t="shared" ca="1" si="132"/>
        <v>0.13846946349258021</v>
      </c>
      <c r="J166" s="27">
        <f t="shared" ca="1" si="132"/>
        <v>0.12032243721919753</v>
      </c>
      <c r="K166" s="27">
        <f t="shared" ca="1" si="132"/>
        <v>0.10763918325372425</v>
      </c>
      <c r="L166" s="27">
        <f t="shared" ca="1" si="132"/>
        <v>9.792752806361113E-2</v>
      </c>
      <c r="M166" s="27">
        <f t="shared" ca="1" si="132"/>
        <v>8.3492887919832573E-2</v>
      </c>
      <c r="N166" s="27">
        <f t="shared" ca="1" si="132"/>
        <v>7.4531056907127677E-2</v>
      </c>
      <c r="O166" s="27">
        <f t="shared" ca="1" si="132"/>
        <v>6.8557766873868303E-2</v>
      </c>
      <c r="P166" s="27">
        <f t="shared" ca="1" si="132"/>
        <v>6.3378244867916336E-2</v>
      </c>
      <c r="Q166" s="27">
        <f t="shared" ca="1" si="132"/>
        <v>5.8001010863923654E-2</v>
      </c>
      <c r="R166" s="27">
        <f t="shared" ca="1" si="132"/>
        <v>5.3944058736427186E-2</v>
      </c>
      <c r="S166" s="27">
        <f t="shared" ca="1" si="132"/>
        <v>5.0608857502605374E-2</v>
      </c>
      <c r="T166" s="27">
        <f t="shared" ca="1" si="132"/>
        <v>4.7444527920043909E-2</v>
      </c>
      <c r="U166" s="27">
        <f t="shared" ca="1" si="132"/>
        <v>4.4534319232955769E-2</v>
      </c>
      <c r="V166" s="27">
        <f t="shared" ca="1" si="132"/>
        <v>4.1986741059057177E-2</v>
      </c>
      <c r="W166" s="27">
        <f t="shared" ca="1" si="132"/>
        <v>3.8951031345186446E-2</v>
      </c>
      <c r="X166" s="27">
        <f t="shared" ca="1" si="132"/>
        <v>3.647879954987205E-2</v>
      </c>
      <c r="Y166" s="27">
        <f t="shared" ca="1" si="132"/>
        <v>3.4903164374302575E-2</v>
      </c>
      <c r="Z166" s="27">
        <f t="shared" ca="1" si="132"/>
        <v>3.3726280521517979E-2</v>
      </c>
      <c r="AA166" s="27">
        <f t="shared" ca="1" si="132"/>
        <v>3.1210504646479398E-2</v>
      </c>
      <c r="AB166" s="27">
        <f t="shared" ca="1" si="132"/>
        <v>2.9867899212667415E-2</v>
      </c>
      <c r="AC166" s="27">
        <f t="shared" ca="1" si="132"/>
        <v>2.8024838415769672E-2</v>
      </c>
      <c r="AD166" s="27">
        <f t="shared" ca="1" si="132"/>
        <v>2.6395808039281026E-2</v>
      </c>
      <c r="AE166" s="27">
        <f t="shared" ca="1" si="132"/>
        <v>2.5579905471263289E-2</v>
      </c>
      <c r="AF166" s="27">
        <f t="shared" ca="1" si="132"/>
        <v>2.4905176906518191E-2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-0.249977111117893"/>
    <outlinePr summaryBelow="0" summaryRight="0"/>
  </sheetPr>
  <dimension ref="A1:I31"/>
  <sheetViews>
    <sheetView workbookViewId="0">
      <selection activeCell="B2" sqref="B2:H2"/>
    </sheetView>
  </sheetViews>
  <sheetFormatPr defaultColWidth="12.5546875" defaultRowHeight="15.75" customHeight="1"/>
  <cols>
    <col min="1" max="1" width="3.88671875" customWidth="1"/>
    <col min="2" max="2" width="28.5546875" customWidth="1"/>
  </cols>
  <sheetData>
    <row r="1" spans="1:9" ht="34.799999999999997">
      <c r="A1" s="281" t="s">
        <v>732</v>
      </c>
      <c r="B1" s="282"/>
      <c r="C1" s="282"/>
      <c r="D1" s="282"/>
      <c r="E1" s="282"/>
      <c r="F1" s="282"/>
      <c r="G1" s="282"/>
      <c r="H1" s="282"/>
    </row>
    <row r="2" spans="1:9" ht="24.6">
      <c r="A2" s="198"/>
      <c r="B2" s="283" t="s">
        <v>717</v>
      </c>
      <c r="C2" s="283"/>
      <c r="D2" s="283"/>
      <c r="E2" s="283"/>
      <c r="F2" s="283"/>
      <c r="G2" s="283"/>
      <c r="H2" s="283"/>
    </row>
    <row r="3" spans="1:9" ht="13.2">
      <c r="C3" s="164">
        <v>2030</v>
      </c>
      <c r="D3" s="164">
        <v>2050</v>
      </c>
    </row>
    <row r="4" spans="1:9" ht="13.2">
      <c r="A4" s="20">
        <v>1</v>
      </c>
      <c r="B4" s="20" t="s">
        <v>718</v>
      </c>
      <c r="C4" s="21">
        <f>'Project Reductions Details'!N8</f>
        <v>375.21715260727632</v>
      </c>
      <c r="D4" s="21">
        <f>'Project Reductions Details'!O8</f>
        <v>1546.1939808942113</v>
      </c>
    </row>
    <row r="5" spans="1:9" ht="13.2">
      <c r="A5" s="20">
        <v>2</v>
      </c>
      <c r="B5" s="20" t="s">
        <v>719</v>
      </c>
      <c r="C5" s="21">
        <f>'Project Reductions Details'!N20</f>
        <v>165743.88680206193</v>
      </c>
      <c r="D5" s="21">
        <f>'Project Reductions Details'!O20</f>
        <v>1473749.5789172426</v>
      </c>
      <c r="G5" s="23"/>
    </row>
    <row r="6" spans="1:9" ht="13.2">
      <c r="A6" s="20">
        <v>3</v>
      </c>
      <c r="B6" s="20" t="s">
        <v>720</v>
      </c>
      <c r="C6" s="21">
        <f>'Project Reductions Details'!N25</f>
        <v>3898.6454728550743</v>
      </c>
      <c r="D6" s="21">
        <f>'Project Reductions Details'!O25</f>
        <v>45899.031912550563</v>
      </c>
      <c r="G6" s="23"/>
    </row>
    <row r="7" spans="1:9" ht="13.2">
      <c r="A7" s="20">
        <v>4</v>
      </c>
      <c r="B7" s="20" t="s">
        <v>721</v>
      </c>
      <c r="C7" s="21">
        <f>'Project Reductions Details'!N36</f>
        <v>2545.3690502124664</v>
      </c>
      <c r="D7" s="21">
        <f>'Project Reductions Details'!O36</f>
        <v>32194.137437537662</v>
      </c>
    </row>
    <row r="8" spans="1:9" ht="13.2">
      <c r="A8" s="20">
        <v>5</v>
      </c>
      <c r="B8" s="20" t="s">
        <v>722</v>
      </c>
      <c r="C8" s="21">
        <f>'Project Reductions Details'!N44</f>
        <v>1482.4602497840488</v>
      </c>
      <c r="D8" s="21">
        <f>'Project Reductions Details'!O44</f>
        <v>6588.8806143350093</v>
      </c>
    </row>
    <row r="9" spans="1:9" ht="13.2">
      <c r="A9" s="20">
        <v>6</v>
      </c>
      <c r="B9" s="20" t="s">
        <v>723</v>
      </c>
      <c r="C9" s="21">
        <f>'Project Reductions Details'!N56</f>
        <v>40.065666666666665</v>
      </c>
      <c r="D9" s="21">
        <f>'Project Reductions Details'!O56</f>
        <v>3949.3300000000004</v>
      </c>
    </row>
    <row r="10" spans="1:9" ht="13.2">
      <c r="A10" s="20">
        <v>7</v>
      </c>
      <c r="B10" s="20" t="s">
        <v>724</v>
      </c>
      <c r="C10" s="21">
        <f>'Project Reductions Details'!N61</f>
        <v>9732.560186312423</v>
      </c>
      <c r="D10" s="21">
        <f>'Project Reductions Details'!O61</f>
        <v>98056.44148120156</v>
      </c>
    </row>
    <row r="11" spans="1:9" ht="13.2">
      <c r="A11" s="20">
        <v>8</v>
      </c>
      <c r="B11" s="20" t="s">
        <v>725</v>
      </c>
      <c r="C11" s="21">
        <f>'Project Reductions Details'!N73</f>
        <v>8385.8175423537305</v>
      </c>
      <c r="D11" s="21">
        <f>'Project Reductions Details'!O73</f>
        <v>36338.542683532833</v>
      </c>
    </row>
    <row r="12" spans="1:9" ht="13.2">
      <c r="A12" s="20">
        <v>9</v>
      </c>
      <c r="B12" s="20" t="s">
        <v>726</v>
      </c>
      <c r="C12" s="21">
        <f>'Project Reductions Details'!N85</f>
        <v>8813.9579999999987</v>
      </c>
      <c r="D12" s="21">
        <f>'Project Reductions Details'!O85</f>
        <v>37060.872000000003</v>
      </c>
    </row>
    <row r="14" spans="1:9" ht="24.6">
      <c r="A14" s="198"/>
      <c r="B14" s="283" t="s">
        <v>727</v>
      </c>
      <c r="C14" s="283"/>
      <c r="D14" s="283"/>
      <c r="E14" s="283"/>
      <c r="F14" s="283"/>
      <c r="G14" s="283"/>
      <c r="H14" s="283"/>
    </row>
    <row r="15" spans="1:9" ht="13.2">
      <c r="A15" s="20"/>
      <c r="B15" s="20"/>
      <c r="C15" s="20"/>
      <c r="D15" s="164">
        <v>2030</v>
      </c>
      <c r="E15" s="164">
        <v>2050</v>
      </c>
    </row>
    <row r="16" spans="1:9" ht="13.2">
      <c r="A16" s="20">
        <v>1</v>
      </c>
      <c r="B16" s="20" t="s">
        <v>718</v>
      </c>
      <c r="C16" s="20" t="s">
        <v>505</v>
      </c>
      <c r="D16" s="21">
        <f>'Project Reductions Details'!N12</f>
        <v>379.38</v>
      </c>
      <c r="E16" s="21">
        <f>'Project Reductions Details'!O12</f>
        <v>1303.3000000000002</v>
      </c>
      <c r="H16" s="21"/>
      <c r="I16" s="21"/>
    </row>
    <row r="17" spans="1:9" ht="13.2">
      <c r="C17" s="20" t="s">
        <v>506</v>
      </c>
      <c r="D17" s="21">
        <f>'Project Reductions Details'!N13</f>
        <v>6162.348</v>
      </c>
      <c r="E17" s="21">
        <f>'Project Reductions Details'!O13</f>
        <v>21285.228000000003</v>
      </c>
      <c r="H17" s="21"/>
      <c r="I17" s="21"/>
    </row>
    <row r="18" spans="1:9" ht="13.2">
      <c r="C18" s="20" t="s">
        <v>507</v>
      </c>
      <c r="D18" s="21">
        <f>'Project Reductions Details'!N14</f>
        <v>252.97200000000001</v>
      </c>
      <c r="E18" s="21">
        <f>'Project Reductions Details'!O14</f>
        <v>699.21199999999999</v>
      </c>
      <c r="H18" s="21"/>
      <c r="I18" s="21"/>
    </row>
    <row r="19" spans="1:9" ht="13.2">
      <c r="C19" s="20" t="s">
        <v>508</v>
      </c>
      <c r="D19" s="21">
        <f>'Project Reductions Details'!N15</f>
        <v>16.64</v>
      </c>
      <c r="E19" s="21">
        <f>'Project Reductions Details'!O15</f>
        <v>64</v>
      </c>
      <c r="H19" s="21"/>
      <c r="I19" s="21"/>
    </row>
    <row r="20" spans="1:9" ht="13.2">
      <c r="A20" s="20">
        <v>5</v>
      </c>
      <c r="B20" s="20" t="s">
        <v>722</v>
      </c>
      <c r="C20" s="20" t="s">
        <v>505</v>
      </c>
      <c r="D20" s="21">
        <f>'Project Reductions Details'!N48</f>
        <v>1363.8452401326642</v>
      </c>
      <c r="E20" s="21">
        <f>'Project Reductions Details'!O48</f>
        <v>5310.174926889882</v>
      </c>
      <c r="H20" s="21"/>
      <c r="I20" s="21"/>
    </row>
    <row r="21" spans="1:9" ht="13.2">
      <c r="C21" s="20" t="s">
        <v>506</v>
      </c>
      <c r="D21" s="21">
        <f>'Project Reductions Details'!N49</f>
        <v>20925.721263308413</v>
      </c>
      <c r="E21" s="21">
        <f>'Project Reductions Details'!O49</f>
        <v>81044.697988314525</v>
      </c>
      <c r="H21" s="21"/>
      <c r="I21" s="21"/>
    </row>
    <row r="22" spans="1:9" ht="13.2">
      <c r="C22" s="20" t="s">
        <v>507</v>
      </c>
      <c r="D22" s="21">
        <f>'Project Reductions Details'!N50</f>
        <v>3177.8809027643301</v>
      </c>
      <c r="E22" s="21">
        <f>'Project Reductions Details'!O50</f>
        <v>12292.96423770503</v>
      </c>
      <c r="H22" s="21"/>
      <c r="I22" s="21"/>
    </row>
    <row r="23" spans="1:9" ht="13.2">
      <c r="C23" s="20" t="s">
        <v>508</v>
      </c>
      <c r="D23" s="21">
        <f>'Project Reductions Details'!N51</f>
        <v>102.1404171142642</v>
      </c>
      <c r="E23" s="21">
        <f>'Project Reductions Details'!O51</f>
        <v>405.13081711219934</v>
      </c>
      <c r="H23" s="21"/>
      <c r="I23" s="21"/>
    </row>
    <row r="24" spans="1:9" ht="13.2">
      <c r="A24" s="20">
        <v>7</v>
      </c>
      <c r="B24" s="20" t="s">
        <v>724</v>
      </c>
      <c r="C24" s="20" t="s">
        <v>505</v>
      </c>
      <c r="D24" s="21">
        <f>'Project Reductions Details'!N65</f>
        <v>7290.7999999999993</v>
      </c>
      <c r="E24" s="21">
        <f>'Project Reductions Details'!O65</f>
        <v>69748.800000000003</v>
      </c>
      <c r="H24" s="21"/>
      <c r="I24" s="21"/>
    </row>
    <row r="25" spans="1:9" ht="13.2">
      <c r="C25" s="20" t="s">
        <v>506</v>
      </c>
      <c r="D25" s="21">
        <f>'Project Reductions Details'!N66</f>
        <v>118866.54999999999</v>
      </c>
      <c r="E25" s="21">
        <f>'Project Reductions Details'!O66</f>
        <v>1126983.55</v>
      </c>
      <c r="H25" s="21"/>
      <c r="I25" s="21"/>
    </row>
    <row r="26" spans="1:9" ht="13.2">
      <c r="C26" s="20" t="s">
        <v>507</v>
      </c>
      <c r="D26" s="21">
        <f>'Project Reductions Details'!N67</f>
        <v>3439.7</v>
      </c>
      <c r="E26" s="21">
        <f>'Project Reductions Details'!O67</f>
        <v>30180.7</v>
      </c>
      <c r="H26" s="21"/>
      <c r="I26" s="21"/>
    </row>
    <row r="27" spans="1:9" ht="13.2">
      <c r="C27" s="20" t="s">
        <v>508</v>
      </c>
      <c r="D27" s="21">
        <f>'Project Reductions Details'!N68</f>
        <v>355.3</v>
      </c>
      <c r="E27" s="21">
        <f>'Project Reductions Details'!O68</f>
        <v>3534.3</v>
      </c>
      <c r="H27" s="21"/>
      <c r="I27" s="21"/>
    </row>
    <row r="28" spans="1:9" ht="13.2">
      <c r="A28" s="20">
        <v>8</v>
      </c>
      <c r="B28" s="20" t="s">
        <v>725</v>
      </c>
      <c r="C28" s="20" t="s">
        <v>505</v>
      </c>
      <c r="D28" s="21">
        <f>'Project Reductions Details'!N77</f>
        <v>4459.253251200038</v>
      </c>
      <c r="E28" s="21">
        <f>'Project Reductions Details'!O77</f>
        <v>17469.729946979409</v>
      </c>
      <c r="H28" s="21"/>
      <c r="I28" s="21"/>
    </row>
    <row r="29" spans="1:9" ht="13.2">
      <c r="C29" s="20" t="s">
        <v>506</v>
      </c>
      <c r="D29" s="21">
        <f>'Project Reductions Details'!N78</f>
        <v>67065.026619626296</v>
      </c>
      <c r="E29" s="21">
        <f>'Project Reductions Details'!O78</f>
        <v>258966.3693844433</v>
      </c>
      <c r="H29" s="21"/>
      <c r="I29" s="21"/>
    </row>
    <row r="30" spans="1:9" ht="13.2">
      <c r="C30" s="20" t="s">
        <v>507</v>
      </c>
      <c r="D30" s="21">
        <f>'Project Reductions Details'!N79</f>
        <v>2028.2951026018588</v>
      </c>
      <c r="E30" s="21">
        <f>'Project Reductions Details'!O79</f>
        <v>6771.2865708590425</v>
      </c>
      <c r="H30" s="21"/>
      <c r="I30" s="21"/>
    </row>
    <row r="31" spans="1:9" ht="13.2">
      <c r="C31" s="20" t="s">
        <v>508</v>
      </c>
      <c r="D31" s="21">
        <f>'Project Reductions Details'!N80</f>
        <v>181.92906186097494</v>
      </c>
      <c r="E31" s="21">
        <f>'Project Reductions Details'!O80</f>
        <v>783.30218693674453</v>
      </c>
      <c r="H31" s="21"/>
      <c r="I31" s="21"/>
    </row>
  </sheetData>
  <mergeCells count="3">
    <mergeCell ref="A1:H1"/>
    <mergeCell ref="B2:H2"/>
    <mergeCell ref="B14:H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59999389629810485"/>
    <outlinePr summaryBelow="0" summaryRight="0"/>
  </sheetPr>
  <dimension ref="A1:HA172"/>
  <sheetViews>
    <sheetView workbookViewId="0">
      <pane xSplit="3" topLeftCell="D1" activePane="topRight" state="frozen"/>
      <selection pane="topRight"/>
    </sheetView>
  </sheetViews>
  <sheetFormatPr defaultColWidth="12.5546875" defaultRowHeight="15.75" customHeight="1"/>
  <cols>
    <col min="1" max="1" width="17.44140625" customWidth="1"/>
    <col min="3" max="3" width="17.33203125" customWidth="1"/>
  </cols>
  <sheetData>
    <row r="1" spans="1:209" ht="13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</row>
    <row r="2" spans="1:209" ht="15.75" customHeight="1">
      <c r="A2" s="29" t="s">
        <v>65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</row>
    <row r="3" spans="1:209" ht="13.2">
      <c r="A3" s="30" t="s">
        <v>27</v>
      </c>
      <c r="B3" s="30"/>
      <c r="C3" s="30"/>
      <c r="D3" s="31">
        <v>2021</v>
      </c>
      <c r="E3" s="31">
        <v>2022</v>
      </c>
      <c r="F3" s="31">
        <v>2023</v>
      </c>
      <c r="G3" s="31">
        <v>2024</v>
      </c>
      <c r="H3" s="31">
        <v>2025</v>
      </c>
      <c r="I3" s="31">
        <v>2026</v>
      </c>
      <c r="J3" s="31">
        <v>2027</v>
      </c>
      <c r="K3" s="31">
        <v>2028</v>
      </c>
      <c r="L3" s="31">
        <v>2029</v>
      </c>
      <c r="M3" s="31">
        <v>2030</v>
      </c>
      <c r="N3" s="31">
        <v>2031</v>
      </c>
      <c r="O3" s="31">
        <v>2032</v>
      </c>
      <c r="P3" s="31">
        <v>2033</v>
      </c>
      <c r="Q3" s="31">
        <v>2034</v>
      </c>
      <c r="R3" s="31">
        <v>2035</v>
      </c>
      <c r="S3" s="31">
        <v>2036</v>
      </c>
      <c r="T3" s="31">
        <v>2037</v>
      </c>
      <c r="U3" s="31">
        <v>2038</v>
      </c>
      <c r="V3" s="31">
        <v>2039</v>
      </c>
      <c r="W3" s="31">
        <v>2040</v>
      </c>
      <c r="X3" s="31">
        <v>2041</v>
      </c>
      <c r="Y3" s="31">
        <v>2042</v>
      </c>
      <c r="Z3" s="31">
        <v>2043</v>
      </c>
      <c r="AA3" s="31">
        <v>2044</v>
      </c>
      <c r="AB3" s="31">
        <v>2045</v>
      </c>
      <c r="AC3" s="31">
        <v>2046</v>
      </c>
      <c r="AD3" s="31">
        <v>2047</v>
      </c>
      <c r="AE3" s="31">
        <v>2048</v>
      </c>
      <c r="AF3" s="31">
        <v>2049</v>
      </c>
      <c r="AG3" s="31">
        <v>2050</v>
      </c>
      <c r="AH3" s="31" t="s">
        <v>66</v>
      </c>
      <c r="AI3" s="23" t="s">
        <v>67</v>
      </c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</row>
    <row r="4" spans="1:209" ht="13.2">
      <c r="A4" s="2" t="s">
        <v>5</v>
      </c>
      <c r="B4" s="2"/>
      <c r="C4" s="2"/>
      <c r="D4" s="24">
        <f ca="1">'Dayton Kettering MSA Pop'!D16</f>
        <v>167043</v>
      </c>
      <c r="E4" s="24">
        <f ca="1">'Dayton Kettering MSA Pop'!E16</f>
        <v>167830.31034482759</v>
      </c>
      <c r="F4" s="24">
        <f ca="1">'Dayton Kettering MSA Pop'!F16</f>
        <v>168617.62068965519</v>
      </c>
      <c r="G4" s="24">
        <f ca="1">'Dayton Kettering MSA Pop'!G16</f>
        <v>169404.93103448278</v>
      </c>
      <c r="H4" s="24">
        <f ca="1">'Dayton Kettering MSA Pop'!H16</f>
        <v>170192.24137931038</v>
      </c>
      <c r="I4" s="24">
        <f ca="1">'Dayton Kettering MSA Pop'!I16</f>
        <v>170979.55172413797</v>
      </c>
      <c r="J4" s="24">
        <f ca="1">'Dayton Kettering MSA Pop'!J16</f>
        <v>171766.86206896557</v>
      </c>
      <c r="K4" s="24">
        <f ca="1">'Dayton Kettering MSA Pop'!K16</f>
        <v>172554.17241379316</v>
      </c>
      <c r="L4" s="24">
        <f ca="1">'Dayton Kettering MSA Pop'!L16</f>
        <v>173341.48275862075</v>
      </c>
      <c r="M4" s="24">
        <f ca="1">'Dayton Kettering MSA Pop'!M16</f>
        <v>174128.79310344835</v>
      </c>
      <c r="N4" s="24">
        <f ca="1">'Dayton Kettering MSA Pop'!N16</f>
        <v>174916.10344827594</v>
      </c>
      <c r="O4" s="24">
        <f ca="1">'Dayton Kettering MSA Pop'!O16</f>
        <v>175703.41379310354</v>
      </c>
      <c r="P4" s="24">
        <f ca="1">'Dayton Kettering MSA Pop'!P16</f>
        <v>176490.72413793113</v>
      </c>
      <c r="Q4" s="24">
        <f ca="1">'Dayton Kettering MSA Pop'!Q16</f>
        <v>177278.03448275873</v>
      </c>
      <c r="R4" s="24">
        <f ca="1">'Dayton Kettering MSA Pop'!R16</f>
        <v>178065.34482758632</v>
      </c>
      <c r="S4" s="24">
        <f ca="1">'Dayton Kettering MSA Pop'!S16</f>
        <v>178852.65517241391</v>
      </c>
      <c r="T4" s="24">
        <f ca="1">'Dayton Kettering MSA Pop'!T16</f>
        <v>179639.96551724151</v>
      </c>
      <c r="U4" s="24">
        <f ca="1">'Dayton Kettering MSA Pop'!U16</f>
        <v>180427.2758620691</v>
      </c>
      <c r="V4" s="24">
        <f ca="1">'Dayton Kettering MSA Pop'!V16</f>
        <v>181214.5862068967</v>
      </c>
      <c r="W4" s="24">
        <f ca="1">'Dayton Kettering MSA Pop'!W16</f>
        <v>182001.89655172429</v>
      </c>
      <c r="X4" s="24">
        <f ca="1">'Dayton Kettering MSA Pop'!X16</f>
        <v>182789.20689655188</v>
      </c>
      <c r="Y4" s="24">
        <f ca="1">'Dayton Kettering MSA Pop'!Y16</f>
        <v>183576.51724137948</v>
      </c>
      <c r="Z4" s="24">
        <f ca="1">'Dayton Kettering MSA Pop'!Z16</f>
        <v>184363.82758620707</v>
      </c>
      <c r="AA4" s="24">
        <f ca="1">'Dayton Kettering MSA Pop'!AA16</f>
        <v>185151.13793103467</v>
      </c>
      <c r="AB4" s="24">
        <f ca="1">'Dayton Kettering MSA Pop'!AB16</f>
        <v>185938.44827586226</v>
      </c>
      <c r="AC4" s="24">
        <f ca="1">'Dayton Kettering MSA Pop'!AC16</f>
        <v>186725.75862068986</v>
      </c>
      <c r="AD4" s="24">
        <f ca="1">'Dayton Kettering MSA Pop'!AD16</f>
        <v>187513.06896551745</v>
      </c>
      <c r="AE4" s="24">
        <f ca="1">'Dayton Kettering MSA Pop'!AE16</f>
        <v>188300.37931034504</v>
      </c>
      <c r="AF4" s="24">
        <f ca="1">'Dayton Kettering MSA Pop'!AF16</f>
        <v>189087.68965517264</v>
      </c>
      <c r="AG4" s="24">
        <f>'Dayton Kettering MSA Pop'!AG16</f>
        <v>189875</v>
      </c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</row>
    <row r="5" spans="1:209" ht="13.2">
      <c r="A5" s="20" t="s">
        <v>9</v>
      </c>
      <c r="D5" s="24">
        <f ca="1">'Dayton Kettering MSA Pop'!D17</f>
        <v>107899</v>
      </c>
      <c r="E5" s="24">
        <f ca="1">'Dayton Kettering MSA Pop'!E17</f>
        <v>108223</v>
      </c>
      <c r="F5" s="24">
        <f ca="1">'Dayton Kettering MSA Pop'!F17</f>
        <v>108547</v>
      </c>
      <c r="G5" s="24">
        <f ca="1">'Dayton Kettering MSA Pop'!G17</f>
        <v>108871</v>
      </c>
      <c r="H5" s="24">
        <f ca="1">'Dayton Kettering MSA Pop'!H17</f>
        <v>109195</v>
      </c>
      <c r="I5" s="24">
        <f ca="1">'Dayton Kettering MSA Pop'!I17</f>
        <v>109519</v>
      </c>
      <c r="J5" s="24">
        <f ca="1">'Dayton Kettering MSA Pop'!J17</f>
        <v>109843</v>
      </c>
      <c r="K5" s="24">
        <f ca="1">'Dayton Kettering MSA Pop'!K17</f>
        <v>110167</v>
      </c>
      <c r="L5" s="24">
        <f ca="1">'Dayton Kettering MSA Pop'!L17</f>
        <v>110491</v>
      </c>
      <c r="M5" s="24">
        <f ca="1">'Dayton Kettering MSA Pop'!M17</f>
        <v>110815</v>
      </c>
      <c r="N5" s="24">
        <f ca="1">'Dayton Kettering MSA Pop'!N17</f>
        <v>111139</v>
      </c>
      <c r="O5" s="24">
        <f ca="1">'Dayton Kettering MSA Pop'!O17</f>
        <v>111463</v>
      </c>
      <c r="P5" s="24">
        <f ca="1">'Dayton Kettering MSA Pop'!P17</f>
        <v>111787</v>
      </c>
      <c r="Q5" s="24">
        <f ca="1">'Dayton Kettering MSA Pop'!Q17</f>
        <v>112111</v>
      </c>
      <c r="R5" s="24">
        <f ca="1">'Dayton Kettering MSA Pop'!R17</f>
        <v>112435</v>
      </c>
      <c r="S5" s="24">
        <f ca="1">'Dayton Kettering MSA Pop'!S17</f>
        <v>112759</v>
      </c>
      <c r="T5" s="24">
        <f ca="1">'Dayton Kettering MSA Pop'!T17</f>
        <v>113083</v>
      </c>
      <c r="U5" s="24">
        <f ca="1">'Dayton Kettering MSA Pop'!U17</f>
        <v>113407</v>
      </c>
      <c r="V5" s="24">
        <f ca="1">'Dayton Kettering MSA Pop'!V17</f>
        <v>113731</v>
      </c>
      <c r="W5" s="24">
        <f ca="1">'Dayton Kettering MSA Pop'!W17</f>
        <v>114055</v>
      </c>
      <c r="X5" s="24">
        <f ca="1">'Dayton Kettering MSA Pop'!X17</f>
        <v>114379</v>
      </c>
      <c r="Y5" s="24">
        <f ca="1">'Dayton Kettering MSA Pop'!Y17</f>
        <v>114703</v>
      </c>
      <c r="Z5" s="24">
        <f ca="1">'Dayton Kettering MSA Pop'!Z17</f>
        <v>115027</v>
      </c>
      <c r="AA5" s="24">
        <f ca="1">'Dayton Kettering MSA Pop'!AA17</f>
        <v>115351</v>
      </c>
      <c r="AB5" s="24">
        <f ca="1">'Dayton Kettering MSA Pop'!AB17</f>
        <v>115675</v>
      </c>
      <c r="AC5" s="24">
        <f ca="1">'Dayton Kettering MSA Pop'!AC17</f>
        <v>115999</v>
      </c>
      <c r="AD5" s="24">
        <f ca="1">'Dayton Kettering MSA Pop'!AD17</f>
        <v>116323</v>
      </c>
      <c r="AE5" s="24">
        <f ca="1">'Dayton Kettering MSA Pop'!AE17</f>
        <v>116647</v>
      </c>
      <c r="AF5" s="24">
        <f ca="1">'Dayton Kettering MSA Pop'!AF17</f>
        <v>116971</v>
      </c>
      <c r="AG5" s="24">
        <f>'Dayton Kettering MSA Pop'!AG17</f>
        <v>117295</v>
      </c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</row>
    <row r="6" spans="1:209" ht="13.2">
      <c r="A6" s="20" t="s">
        <v>10</v>
      </c>
      <c r="D6" s="24">
        <f ca="1">'Dayton Kettering MSA Pop'!D18</f>
        <v>536136</v>
      </c>
      <c r="E6" s="24">
        <f ca="1">'Dayton Kettering MSA Pop'!E18</f>
        <v>534573.3448275862</v>
      </c>
      <c r="F6" s="24">
        <f ca="1">'Dayton Kettering MSA Pop'!F18</f>
        <v>533010.68965517241</v>
      </c>
      <c r="G6" s="24">
        <f ca="1">'Dayton Kettering MSA Pop'!G18</f>
        <v>531448.03448275861</v>
      </c>
      <c r="H6" s="24">
        <f ca="1">'Dayton Kettering MSA Pop'!H18</f>
        <v>529885.37931034481</v>
      </c>
      <c r="I6" s="24">
        <f ca="1">'Dayton Kettering MSA Pop'!I18</f>
        <v>528322.72413793101</v>
      </c>
      <c r="J6" s="24">
        <f ca="1">'Dayton Kettering MSA Pop'!J18</f>
        <v>526760.06896551722</v>
      </c>
      <c r="K6" s="24">
        <f ca="1">'Dayton Kettering MSA Pop'!K18</f>
        <v>525197.41379310342</v>
      </c>
      <c r="L6" s="24">
        <f ca="1">'Dayton Kettering MSA Pop'!L18</f>
        <v>523634.75862068962</v>
      </c>
      <c r="M6" s="24">
        <f ca="1">'Dayton Kettering MSA Pop'!M18</f>
        <v>522072.10344827583</v>
      </c>
      <c r="N6" s="24">
        <f ca="1">'Dayton Kettering MSA Pop'!N18</f>
        <v>520509.44827586203</v>
      </c>
      <c r="O6" s="24">
        <f ca="1">'Dayton Kettering MSA Pop'!O18</f>
        <v>518946.79310344823</v>
      </c>
      <c r="P6" s="24">
        <f ca="1">'Dayton Kettering MSA Pop'!P18</f>
        <v>517384.13793103443</v>
      </c>
      <c r="Q6" s="24">
        <f ca="1">'Dayton Kettering MSA Pop'!Q18</f>
        <v>515821.48275862064</v>
      </c>
      <c r="R6" s="24">
        <f ca="1">'Dayton Kettering MSA Pop'!R18</f>
        <v>514258.82758620684</v>
      </c>
      <c r="S6" s="24">
        <f ca="1">'Dayton Kettering MSA Pop'!S18</f>
        <v>512696.17241379304</v>
      </c>
      <c r="T6" s="24">
        <f ca="1">'Dayton Kettering MSA Pop'!T18</f>
        <v>511133.51724137925</v>
      </c>
      <c r="U6" s="24">
        <f ca="1">'Dayton Kettering MSA Pop'!U18</f>
        <v>509570.86206896545</v>
      </c>
      <c r="V6" s="24">
        <f ca="1">'Dayton Kettering MSA Pop'!V18</f>
        <v>508008.20689655165</v>
      </c>
      <c r="W6" s="24">
        <f ca="1">'Dayton Kettering MSA Pop'!W18</f>
        <v>506445.55172413785</v>
      </c>
      <c r="X6" s="24">
        <f ca="1">'Dayton Kettering MSA Pop'!X18</f>
        <v>504882.89655172406</v>
      </c>
      <c r="Y6" s="24">
        <f ca="1">'Dayton Kettering MSA Pop'!Y18</f>
        <v>503320.24137931026</v>
      </c>
      <c r="Z6" s="24">
        <f ca="1">'Dayton Kettering MSA Pop'!Z18</f>
        <v>501757.58620689646</v>
      </c>
      <c r="AA6" s="24">
        <f ca="1">'Dayton Kettering MSA Pop'!AA18</f>
        <v>500194.93103448267</v>
      </c>
      <c r="AB6" s="24">
        <f ca="1">'Dayton Kettering MSA Pop'!AB18</f>
        <v>498632.27586206887</v>
      </c>
      <c r="AC6" s="24">
        <f ca="1">'Dayton Kettering MSA Pop'!AC18</f>
        <v>497069.62068965507</v>
      </c>
      <c r="AD6" s="24">
        <f ca="1">'Dayton Kettering MSA Pop'!AD18</f>
        <v>495506.96551724127</v>
      </c>
      <c r="AE6" s="24">
        <f ca="1">'Dayton Kettering MSA Pop'!AE18</f>
        <v>493944.31034482748</v>
      </c>
      <c r="AF6" s="24">
        <f ca="1">'Dayton Kettering MSA Pop'!AF18</f>
        <v>492381.65517241368</v>
      </c>
      <c r="AG6" s="24">
        <f>'Dayton Kettering MSA Pop'!AG18</f>
        <v>490819</v>
      </c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</row>
    <row r="7" spans="1:209" ht="13.2">
      <c r="A7" s="20" t="s">
        <v>36</v>
      </c>
      <c r="B7" s="2"/>
      <c r="C7" s="2"/>
      <c r="D7" s="24">
        <f ca="1">'Dayton Kettering MSA Pop'!D19</f>
        <v>811078</v>
      </c>
      <c r="E7" s="24">
        <f ca="1">'Dayton Kettering MSA Pop'!E19</f>
        <v>810626.6551724138</v>
      </c>
      <c r="F7" s="24">
        <f ca="1">'Dayton Kettering MSA Pop'!F19</f>
        <v>810175.31034482759</v>
      </c>
      <c r="G7" s="24">
        <f ca="1">'Dayton Kettering MSA Pop'!G19</f>
        <v>809723.96551724139</v>
      </c>
      <c r="H7" s="24">
        <f ca="1">'Dayton Kettering MSA Pop'!H19</f>
        <v>809272.62068965519</v>
      </c>
      <c r="I7" s="24">
        <f ca="1">'Dayton Kettering MSA Pop'!I19</f>
        <v>808821.27586206899</v>
      </c>
      <c r="J7" s="24">
        <f ca="1">'Dayton Kettering MSA Pop'!J19</f>
        <v>808369.93103448278</v>
      </c>
      <c r="K7" s="24">
        <f ca="1">'Dayton Kettering MSA Pop'!K19</f>
        <v>807918.58620689658</v>
      </c>
      <c r="L7" s="24">
        <f ca="1">'Dayton Kettering MSA Pop'!L19</f>
        <v>807467.24137931038</v>
      </c>
      <c r="M7" s="24">
        <f ca="1">'Dayton Kettering MSA Pop'!M19</f>
        <v>807015.89655172417</v>
      </c>
      <c r="N7" s="24">
        <f ca="1">'Dayton Kettering MSA Pop'!N19</f>
        <v>806564.55172413797</v>
      </c>
      <c r="O7" s="24">
        <f ca="1">'Dayton Kettering MSA Pop'!O19</f>
        <v>806113.20689655177</v>
      </c>
      <c r="P7" s="24">
        <f ca="1">'Dayton Kettering MSA Pop'!P19</f>
        <v>805661.86206896557</v>
      </c>
      <c r="Q7" s="24">
        <f ca="1">'Dayton Kettering MSA Pop'!Q19</f>
        <v>805210.51724137936</v>
      </c>
      <c r="R7" s="24">
        <f ca="1">'Dayton Kettering MSA Pop'!R19</f>
        <v>804759.17241379316</v>
      </c>
      <c r="S7" s="24">
        <f ca="1">'Dayton Kettering MSA Pop'!S19</f>
        <v>804307.82758620696</v>
      </c>
      <c r="T7" s="24">
        <f ca="1">'Dayton Kettering MSA Pop'!T19</f>
        <v>803856.48275862075</v>
      </c>
      <c r="U7" s="24">
        <f ca="1">'Dayton Kettering MSA Pop'!U19</f>
        <v>803405.13793103455</v>
      </c>
      <c r="V7" s="24">
        <f ca="1">'Dayton Kettering MSA Pop'!V19</f>
        <v>802953.79310344835</v>
      </c>
      <c r="W7" s="24">
        <f ca="1">'Dayton Kettering MSA Pop'!W19</f>
        <v>802502.44827586215</v>
      </c>
      <c r="X7" s="24">
        <f ca="1">'Dayton Kettering MSA Pop'!X19</f>
        <v>802051.10344827594</v>
      </c>
      <c r="Y7" s="24">
        <f ca="1">'Dayton Kettering MSA Pop'!Y19</f>
        <v>801599.75862068974</v>
      </c>
      <c r="Z7" s="24">
        <f ca="1">'Dayton Kettering MSA Pop'!Z19</f>
        <v>801148.41379310354</v>
      </c>
      <c r="AA7" s="24">
        <f ca="1">'Dayton Kettering MSA Pop'!AA19</f>
        <v>800697.06896551733</v>
      </c>
      <c r="AB7" s="24">
        <f ca="1">'Dayton Kettering MSA Pop'!AB19</f>
        <v>800245.72413793113</v>
      </c>
      <c r="AC7" s="24">
        <f ca="1">'Dayton Kettering MSA Pop'!AC19</f>
        <v>799794.37931034493</v>
      </c>
      <c r="AD7" s="24">
        <f ca="1">'Dayton Kettering MSA Pop'!AD19</f>
        <v>799343.03448275873</v>
      </c>
      <c r="AE7" s="24">
        <f ca="1">'Dayton Kettering MSA Pop'!AE19</f>
        <v>798891.68965517252</v>
      </c>
      <c r="AF7" s="24">
        <f ca="1">'Dayton Kettering MSA Pop'!AF19</f>
        <v>798440.34482758632</v>
      </c>
      <c r="AG7" s="24">
        <f>'Dayton Kettering MSA Pop'!AG19</f>
        <v>797989</v>
      </c>
      <c r="AH7" s="25">
        <f ca="1">AG7/D7</f>
        <v>0.98386221793711581</v>
      </c>
      <c r="AI7" s="25">
        <f ca="1">'Projections raw data'!AG19</f>
        <v>0.98441001774148928</v>
      </c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</row>
    <row r="8" spans="1:209" ht="15.75" customHeight="1">
      <c r="A8" s="29" t="s">
        <v>68</v>
      </c>
      <c r="B8" s="2"/>
      <c r="C8" s="2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</row>
    <row r="9" spans="1:209" ht="13.2">
      <c r="A9" s="30" t="s">
        <v>27</v>
      </c>
      <c r="B9" s="30" t="s">
        <v>4</v>
      </c>
      <c r="C9" s="30" t="s">
        <v>34</v>
      </c>
      <c r="D9" s="31">
        <v>2021</v>
      </c>
      <c r="E9" s="31">
        <v>2022</v>
      </c>
      <c r="F9" s="31">
        <v>2023</v>
      </c>
      <c r="G9" s="31">
        <v>2024</v>
      </c>
      <c r="H9" s="31">
        <v>2025</v>
      </c>
      <c r="I9" s="31">
        <v>2026</v>
      </c>
      <c r="J9" s="31">
        <v>2027</v>
      </c>
      <c r="K9" s="31">
        <v>2028</v>
      </c>
      <c r="L9" s="31">
        <v>2029</v>
      </c>
      <c r="M9" s="31">
        <v>2030</v>
      </c>
      <c r="N9" s="31">
        <v>2031</v>
      </c>
      <c r="O9" s="31">
        <v>2032</v>
      </c>
      <c r="P9" s="31">
        <v>2033</v>
      </c>
      <c r="Q9" s="31">
        <v>2034</v>
      </c>
      <c r="R9" s="31">
        <v>2035</v>
      </c>
      <c r="S9" s="31">
        <v>2036</v>
      </c>
      <c r="T9" s="31">
        <v>2037</v>
      </c>
      <c r="U9" s="31">
        <v>2038</v>
      </c>
      <c r="V9" s="31">
        <v>2039</v>
      </c>
      <c r="W9" s="31">
        <v>2040</v>
      </c>
      <c r="X9" s="31">
        <v>2041</v>
      </c>
      <c r="Y9" s="31">
        <v>2042</v>
      </c>
      <c r="Z9" s="31">
        <v>2043</v>
      </c>
      <c r="AA9" s="31">
        <v>2044</v>
      </c>
      <c r="AB9" s="31">
        <v>2045</v>
      </c>
      <c r="AC9" s="31">
        <v>2046</v>
      </c>
      <c r="AD9" s="31">
        <v>2047</v>
      </c>
      <c r="AE9" s="31">
        <v>2048</v>
      </c>
      <c r="AF9" s="31">
        <v>2049</v>
      </c>
      <c r="AG9" s="31">
        <v>2050</v>
      </c>
      <c r="AH9" s="31" t="s">
        <v>66</v>
      </c>
      <c r="AI9" s="23" t="s">
        <v>67</v>
      </c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</row>
    <row r="10" spans="1:209" ht="13.2">
      <c r="A10" s="2" t="s">
        <v>5</v>
      </c>
      <c r="B10" s="2" t="s">
        <v>43</v>
      </c>
      <c r="C10" s="2" t="s">
        <v>44</v>
      </c>
      <c r="D10" s="21">
        <f>'Dayton Kettering MSA Summary'!G4</f>
        <v>826624792</v>
      </c>
      <c r="E10" s="21">
        <f ca="1">D10*(1+'Projections raw data'!D87)</f>
        <v>797914838.39712429</v>
      </c>
      <c r="F10" s="21">
        <f ca="1">E10*(1+'Projections raw data'!E87)</f>
        <v>833879165.18650019</v>
      </c>
      <c r="G10" s="21">
        <f ca="1">F10*(1+'Projections raw data'!F87)</f>
        <v>844664948.26169205</v>
      </c>
      <c r="H10" s="21">
        <f ca="1">G10*(1+'Projections raw data'!G87)</f>
        <v>854112669.95806766</v>
      </c>
      <c r="I10" s="21">
        <f ca="1">H10*(1+'Projections raw data'!H87)</f>
        <v>861698552.76731372</v>
      </c>
      <c r="J10" s="21">
        <f ca="1">I10*(1+'Projections raw data'!I87)</f>
        <v>868479681.3528266</v>
      </c>
      <c r="K10" s="21">
        <f ca="1">J10*(1+'Projections raw data'!J87)</f>
        <v>875327781.1214999</v>
      </c>
      <c r="L10" s="21">
        <f ca="1">K10*(1+'Projections raw data'!K87)</f>
        <v>882554996.75854635</v>
      </c>
      <c r="M10" s="21">
        <f ca="1">L10*(1+'Projections raw data'!L87)</f>
        <v>888073821.18960238</v>
      </c>
      <c r="N10" s="21">
        <f ca="1">M10*(1+'Projections raw data'!M87)</f>
        <v>888207015.93661582</v>
      </c>
      <c r="O10" s="21">
        <f ca="1">N10*(1+'Projections raw data'!N87)</f>
        <v>889164469.89329278</v>
      </c>
      <c r="P10" s="21">
        <f ca="1">O10*(1+'Projections raw data'!O87)</f>
        <v>891165542.41118944</v>
      </c>
      <c r="Q10" s="21">
        <f ca="1">P10*(1+'Projections raw data'!P87)</f>
        <v>894078546.66543174</v>
      </c>
      <c r="R10" s="21">
        <f ca="1">Q10*(1+'Projections raw data'!Q87)</f>
        <v>897671979.66167045</v>
      </c>
      <c r="S10" s="21">
        <f ca="1">R10*(1+'Projections raw data'!R87)</f>
        <v>901450898.77538311</v>
      </c>
      <c r="T10" s="21">
        <f ca="1">S10*(1+'Projections raw data'!S87)</f>
        <v>905890186.81654549</v>
      </c>
      <c r="U10" s="21">
        <f ca="1">T10*(1+'Projections raw data'!T87)</f>
        <v>910301769.28223753</v>
      </c>
      <c r="V10" s="21">
        <f ca="1">U10*(1+'Projections raw data'!U87)</f>
        <v>914592846.90487933</v>
      </c>
      <c r="W10" s="21">
        <f ca="1">V10*(1+'Projections raw data'!V87)</f>
        <v>918162366.04248297</v>
      </c>
      <c r="X10" s="21">
        <f ca="1">W10*(1+'Projections raw data'!W87)</f>
        <v>921409663.45203197</v>
      </c>
      <c r="Y10" s="21">
        <f ca="1">X10*(1+'Projections raw data'!X87)</f>
        <v>925403097.20923591</v>
      </c>
      <c r="Z10" s="21">
        <f ca="1">Y10*(1+'Projections raw data'!Y87)</f>
        <v>929929248.46389341</v>
      </c>
      <c r="AA10" s="21">
        <f ca="1">Z10*(1+'Projections raw data'!Z87)</f>
        <v>935105961.0188967</v>
      </c>
      <c r="AB10" s="21">
        <f ca="1">AA10*(1+'Projections raw data'!AA87)</f>
        <v>940585184.61033702</v>
      </c>
      <c r="AC10" s="21">
        <f ca="1">AB10*(1+'Projections raw data'!AB87)</f>
        <v>946353418.6391114</v>
      </c>
      <c r="AD10" s="21">
        <f ca="1">AC10*(1+'Projections raw data'!AC87)</f>
        <v>952178448.3416816</v>
      </c>
      <c r="AE10" s="21">
        <f ca="1">AD10*(1+'Projections raw data'!AD87)</f>
        <v>958621289.87945664</v>
      </c>
      <c r="AF10" s="21">
        <f ca="1">AE10*(1+'Projections raw data'!AE87)</f>
        <v>965703096.80173302</v>
      </c>
      <c r="AG10" s="21">
        <f ca="1">AF10*(1+'Projections raw data'!AF87)</f>
        <v>973394011.6688385</v>
      </c>
      <c r="AH10" s="25">
        <f t="shared" ref="AH10:AH15" ca="1" si="0">AG10/D10</f>
        <v>1.1775524047781505</v>
      </c>
      <c r="AI10" s="25">
        <f ca="1">'Projections raw data'!AG71</f>
        <v>1.1826733769672648</v>
      </c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</row>
    <row r="11" spans="1:209" ht="13.2">
      <c r="A11" s="2" t="s">
        <v>5</v>
      </c>
      <c r="B11" s="2" t="s">
        <v>43</v>
      </c>
      <c r="C11" s="2" t="s">
        <v>14</v>
      </c>
      <c r="D11" s="21">
        <f>'Dayton Kettering MSA Summary'!G16*MMBTU_per_scf*1000</f>
        <v>3016633</v>
      </c>
      <c r="E11" s="21">
        <f ca="1">D11*(1+'Projections raw data'!D88)</f>
        <v>2923031.5110260779</v>
      </c>
      <c r="F11" s="21">
        <f ca="1">E11*(1+'Projections raw data'!E88)</f>
        <v>3201095.1382411812</v>
      </c>
      <c r="G11" s="21">
        <f ca="1">F11*(1+'Projections raw data'!F88)</f>
        <v>3232944.0432987493</v>
      </c>
      <c r="H11" s="21">
        <f ca="1">G11*(1+'Projections raw data'!G88)</f>
        <v>3257480.78154193</v>
      </c>
      <c r="I11" s="21">
        <f ca="1">H11*(1+'Projections raw data'!H88)</f>
        <v>3265551.2153978054</v>
      </c>
      <c r="J11" s="21">
        <f ca="1">I11*(1+'Projections raw data'!I88)</f>
        <v>3266287.8851030716</v>
      </c>
      <c r="K11" s="21">
        <f ca="1">J11*(1+'Projections raw data'!J88)</f>
        <v>3262356.6469901418</v>
      </c>
      <c r="L11" s="21">
        <f ca="1">K11*(1+'Projections raw data'!K88)</f>
        <v>3254398.9878376569</v>
      </c>
      <c r="M11" s="21">
        <f ca="1">L11*(1+'Projections raw data'!L88)</f>
        <v>3249272.3851793972</v>
      </c>
      <c r="N11" s="21">
        <f ca="1">M11*(1+'Projections raw data'!M88)</f>
        <v>3225304.2957589147</v>
      </c>
      <c r="O11" s="21">
        <f ca="1">N11*(1+'Projections raw data'!N88)</f>
        <v>3204346.9803809868</v>
      </c>
      <c r="P11" s="21">
        <f ca="1">O11*(1+'Projections raw data'!O88)</f>
        <v>3182974.9944984666</v>
      </c>
      <c r="Q11" s="21">
        <f ca="1">P11*(1+'Projections raw data'!P88)</f>
        <v>3163932.5340976487</v>
      </c>
      <c r="R11" s="21">
        <f ca="1">Q11*(1+'Projections raw data'!Q88)</f>
        <v>3147935.2784741838</v>
      </c>
      <c r="S11" s="21">
        <f ca="1">R11*(1+'Projections raw data'!R88)</f>
        <v>3132711.451005185</v>
      </c>
      <c r="T11" s="21">
        <f ca="1">S11*(1+'Projections raw data'!S88)</f>
        <v>3116721.5460618068</v>
      </c>
      <c r="U11" s="21">
        <f ca="1">T11*(1+'Projections raw data'!T88)</f>
        <v>3100711.8705028603</v>
      </c>
      <c r="V11" s="21">
        <f ca="1">U11*(1+'Projections raw data'!U88)</f>
        <v>3085277.9653179212</v>
      </c>
      <c r="W11" s="21">
        <f ca="1">V11*(1+'Projections raw data'!V88)</f>
        <v>3070795.8355258494</v>
      </c>
      <c r="X11" s="21">
        <f ca="1">W11*(1+'Projections raw data'!W88)</f>
        <v>3056759.6398477978</v>
      </c>
      <c r="Y11" s="21">
        <f ca="1">X11*(1+'Projections raw data'!X88)</f>
        <v>3043019.4737965954</v>
      </c>
      <c r="Z11" s="21">
        <f ca="1">Y11*(1+'Projections raw data'!Y88)</f>
        <v>3029357.377657494</v>
      </c>
      <c r="AA11" s="21">
        <f ca="1">Z11*(1+'Projections raw data'!Z88)</f>
        <v>3017278.4701307062</v>
      </c>
      <c r="AB11" s="21">
        <f ca="1">AA11*(1+'Projections raw data'!AA88)</f>
        <v>3004545.3068129942</v>
      </c>
      <c r="AC11" s="21">
        <f ca="1">AB11*(1+'Projections raw data'!AB88)</f>
        <v>2991431.8860912174</v>
      </c>
      <c r="AD11" s="21">
        <f ca="1">AC11*(1+'Projections raw data'!AC88)</f>
        <v>2977881.4228177015</v>
      </c>
      <c r="AE11" s="21">
        <f ca="1">AD11*(1+'Projections raw data'!AD88)</f>
        <v>2964110.5450847917</v>
      </c>
      <c r="AF11" s="21">
        <f ca="1">AE11*(1+'Projections raw data'!AE88)</f>
        <v>2949857.3670937126</v>
      </c>
      <c r="AG11" s="21">
        <f ca="1">AF11*(1+'Projections raw data'!AF88)</f>
        <v>2935292.8995948397</v>
      </c>
      <c r="AH11" s="25">
        <f t="shared" ca="1" si="0"/>
        <v>0.97303612988216981</v>
      </c>
      <c r="AI11" s="25">
        <f ca="1">'Projections raw data'!AG72</f>
        <v>0.98355766750119678</v>
      </c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</row>
    <row r="12" spans="1:209" ht="13.2">
      <c r="A12" s="2" t="s">
        <v>5</v>
      </c>
      <c r="B12" s="2" t="s">
        <v>45</v>
      </c>
      <c r="C12" s="2" t="s">
        <v>44</v>
      </c>
      <c r="D12" s="21">
        <f>'Dayton Kettering MSA Summary'!C4</f>
        <v>524183626</v>
      </c>
      <c r="E12" s="21">
        <f ca="1">D12*(1+'Projections raw data'!D89)</f>
        <v>529872043.87218755</v>
      </c>
      <c r="F12" s="21">
        <f ca="1">E12*(1+'Projections raw data'!E89)</f>
        <v>535813871.00614333</v>
      </c>
      <c r="G12" s="21">
        <f ca="1">F12*(1+'Projections raw data'!F89)</f>
        <v>538784757.18762255</v>
      </c>
      <c r="H12" s="21">
        <f ca="1">G12*(1+'Projections raw data'!G89)</f>
        <v>541917474.57839739</v>
      </c>
      <c r="I12" s="21">
        <f ca="1">H12*(1+'Projections raw data'!H89)</f>
        <v>543280127.56227911</v>
      </c>
      <c r="J12" s="21">
        <f ca="1">I12*(1+'Projections raw data'!I89)</f>
        <v>546331047.52422082</v>
      </c>
      <c r="K12" s="21">
        <f ca="1">J12*(1+'Projections raw data'!J89)</f>
        <v>549130134.97362638</v>
      </c>
      <c r="L12" s="21">
        <f ca="1">K12*(1+'Projections raw data'!K89)</f>
        <v>552114708.22910619</v>
      </c>
      <c r="M12" s="21">
        <f ca="1">L12*(1+'Projections raw data'!L89)</f>
        <v>553478976.21117997</v>
      </c>
      <c r="N12" s="21">
        <f ca="1">M12*(1+'Projections raw data'!M89)</f>
        <v>552467696.95329261</v>
      </c>
      <c r="O12" s="21">
        <f ca="1">N12*(1+'Projections raw data'!N89)</f>
        <v>552122439.77796626</v>
      </c>
      <c r="P12" s="21">
        <f ca="1">O12*(1+'Projections raw data'!O89)</f>
        <v>552625559.23484147</v>
      </c>
      <c r="Q12" s="21">
        <f ca="1">P12*(1+'Projections raw data'!P89)</f>
        <v>553808334.97437632</v>
      </c>
      <c r="R12" s="21">
        <f ca="1">Q12*(1+'Projections raw data'!Q89)</f>
        <v>555342384.08940709</v>
      </c>
      <c r="S12" s="21">
        <f ca="1">R12*(1+'Projections raw data'!R89)</f>
        <v>556919758.47990799</v>
      </c>
      <c r="T12" s="21">
        <f ca="1">S12*(1+'Projections raw data'!S89)</f>
        <v>558684989.36626685</v>
      </c>
      <c r="U12" s="21">
        <f ca="1">T12*(1+'Projections raw data'!T89)</f>
        <v>560619304.35194302</v>
      </c>
      <c r="V12" s="21">
        <f ca="1">U12*(1+'Projections raw data'!U89)</f>
        <v>562233423.39645016</v>
      </c>
      <c r="W12" s="21">
        <f ca="1">V12*(1+'Projections raw data'!V89)</f>
        <v>563407665.27191567</v>
      </c>
      <c r="X12" s="21">
        <f ca="1">W12*(1+'Projections raw data'!W89)</f>
        <v>565275145.50210655</v>
      </c>
      <c r="Y12" s="21">
        <f ca="1">X12*(1+'Projections raw data'!X89)</f>
        <v>567741897.96191025</v>
      </c>
      <c r="Z12" s="21">
        <f ca="1">Y12*(1+'Projections raw data'!Y89)</f>
        <v>570562217.11746788</v>
      </c>
      <c r="AA12" s="21">
        <f ca="1">Z12*(1+'Projections raw data'!Z89)</f>
        <v>573440170.98875153</v>
      </c>
      <c r="AB12" s="21">
        <f ca="1">AA12*(1+'Projections raw data'!AA89)</f>
        <v>576628617.09564412</v>
      </c>
      <c r="AC12" s="21">
        <f ca="1">AB12*(1+'Projections raw data'!AB89)</f>
        <v>579285808.26386034</v>
      </c>
      <c r="AD12" s="21">
        <f ca="1">AC12*(1+'Projections raw data'!AC89)</f>
        <v>582440226.60210466</v>
      </c>
      <c r="AE12" s="21">
        <f ca="1">AD12*(1+'Projections raw data'!AD89)</f>
        <v>585652633.12785053</v>
      </c>
      <c r="AF12" s="21">
        <f ca="1">AE12*(1+'Projections raw data'!AE89)</f>
        <v>589505460.24764431</v>
      </c>
      <c r="AG12" s="21">
        <f ca="1">AF12*(1+'Projections raw data'!AF89)</f>
        <v>593557731.58522952</v>
      </c>
      <c r="AH12" s="25">
        <f t="shared" ca="1" si="0"/>
        <v>1.13234695275512</v>
      </c>
      <c r="AI12" s="25">
        <f ca="1">'Projections raw data'!AG73</f>
        <v>1.1331968811716897</v>
      </c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</row>
    <row r="13" spans="1:209" ht="13.2">
      <c r="A13" s="2" t="s">
        <v>5</v>
      </c>
      <c r="B13" s="2" t="s">
        <v>45</v>
      </c>
      <c r="C13" s="2" t="s">
        <v>14</v>
      </c>
      <c r="D13" s="21">
        <f>'Dayton Kettering MSA Summary'!C16*MMBTU_per_scf*1000</f>
        <v>2153065.0279999999</v>
      </c>
      <c r="E13" s="21">
        <f ca="1">D13*(1+'Projections raw data'!D90)</f>
        <v>2234713.6964825992</v>
      </c>
      <c r="F13" s="21">
        <f ca="1">E13*(1+'Projections raw data'!E90)</f>
        <v>2214287.3390953252</v>
      </c>
      <c r="G13" s="21">
        <f ca="1">F13*(1+'Projections raw data'!F90)</f>
        <v>2232487.9200828462</v>
      </c>
      <c r="H13" s="21">
        <f ca="1">G13*(1+'Projections raw data'!G90)</f>
        <v>2255775.5729078865</v>
      </c>
      <c r="I13" s="21">
        <f ca="1">H13*(1+'Projections raw data'!H90)</f>
        <v>2270083.1058028643</v>
      </c>
      <c r="J13" s="21">
        <f ca="1">I13*(1+'Projections raw data'!I90)</f>
        <v>2292375.5424621906</v>
      </c>
      <c r="K13" s="21">
        <f ca="1">J13*(1+'Projections raw data'!J90)</f>
        <v>2305161.0874159653</v>
      </c>
      <c r="L13" s="21">
        <f ca="1">K13*(1+'Projections raw data'!K90)</f>
        <v>2309998.6526957303</v>
      </c>
      <c r="M13" s="21">
        <f ca="1">L13*(1+'Projections raw data'!L90)</f>
        <v>2316357.2529233797</v>
      </c>
      <c r="N13" s="21">
        <f ca="1">M13*(1+'Projections raw data'!M90)</f>
        <v>2312094.9728012597</v>
      </c>
      <c r="O13" s="21">
        <f ca="1">N13*(1+'Projections raw data'!N90)</f>
        <v>2310961.757985313</v>
      </c>
      <c r="P13" s="21">
        <f ca="1">O13*(1+'Projections raw data'!O90)</f>
        <v>2308165.7614582949</v>
      </c>
      <c r="Q13" s="21">
        <f ca="1">P13*(1+'Projections raw data'!P90)</f>
        <v>2307551.3241709745</v>
      </c>
      <c r="R13" s="21">
        <f ca="1">Q13*(1+'Projections raw data'!Q90)</f>
        <v>2309720.6599015044</v>
      </c>
      <c r="S13" s="21">
        <f ca="1">R13*(1+'Projections raw data'!R90)</f>
        <v>2311526.6301961909</v>
      </c>
      <c r="T13" s="21">
        <f ca="1">S13*(1+'Projections raw data'!S90)</f>
        <v>2310925.5403499366</v>
      </c>
      <c r="U13" s="21">
        <f ca="1">T13*(1+'Projections raw data'!T90)</f>
        <v>2309053.1088024667</v>
      </c>
      <c r="V13" s="21">
        <f ca="1">U13*(1+'Projections raw data'!U90)</f>
        <v>2306796.3768764818</v>
      </c>
      <c r="W13" s="21">
        <f ca="1">V13*(1+'Projections raw data'!V90)</f>
        <v>2304504.9529569433</v>
      </c>
      <c r="X13" s="21">
        <f ca="1">W13*(1+'Projections raw data'!W90)</f>
        <v>2302726.9489526362</v>
      </c>
      <c r="Y13" s="21">
        <f ca="1">X13*(1+'Projections raw data'!X90)</f>
        <v>2301311.6755215195</v>
      </c>
      <c r="Z13" s="21">
        <f ca="1">Y13*(1+'Projections raw data'!Y90)</f>
        <v>2299798.021989055</v>
      </c>
      <c r="AA13" s="21">
        <f ca="1">Z13*(1+'Projections raw data'!Z90)</f>
        <v>2299701.8166296007</v>
      </c>
      <c r="AB13" s="21">
        <f ca="1">AA13*(1+'Projections raw data'!AA90)</f>
        <v>2299120.7793301996</v>
      </c>
      <c r="AC13" s="21">
        <f ca="1">AB13*(1+'Projections raw data'!AB90)</f>
        <v>2297906.4437105167</v>
      </c>
      <c r="AD13" s="21">
        <f ca="1">AC13*(1+'Projections raw data'!AC90)</f>
        <v>2296046.9910245566</v>
      </c>
      <c r="AE13" s="21">
        <f ca="1">AD13*(1+'Projections raw data'!AD90)</f>
        <v>2293940.1839951156</v>
      </c>
      <c r="AF13" s="21">
        <f ca="1">AE13*(1+'Projections raw data'!AE90)</f>
        <v>2291189.1864584452</v>
      </c>
      <c r="AG13" s="21">
        <f ca="1">AF13*(1+'Projections raw data'!AF90)</f>
        <v>2287980.6844364153</v>
      </c>
      <c r="AH13" s="25">
        <f t="shared" ca="1" si="0"/>
        <v>1.062662137316744</v>
      </c>
      <c r="AI13" s="25">
        <f ca="1">'Projections raw data'!AG74</f>
        <v>1.0646775540034228</v>
      </c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</row>
    <row r="14" spans="1:209" ht="13.2">
      <c r="A14" s="2" t="s">
        <v>5</v>
      </c>
      <c r="B14" s="2" t="s">
        <v>48</v>
      </c>
      <c r="C14" s="2" t="s">
        <v>44</v>
      </c>
      <c r="D14" s="21">
        <f>'Dayton Kettering MSA Summary'!K4</f>
        <v>279076797</v>
      </c>
      <c r="E14" s="21">
        <f ca="1">D14*(1+'Projections raw data'!D93)</f>
        <v>287803688.91855371</v>
      </c>
      <c r="F14" s="21">
        <f ca="1">E14*(1+'Projections raw data'!E93)</f>
        <v>297290926.89577764</v>
      </c>
      <c r="G14" s="21">
        <f ca="1">F14*(1+'Projections raw data'!F93)</f>
        <v>299395511.04401505</v>
      </c>
      <c r="H14" s="21">
        <f ca="1">G14*(1+'Projections raw data'!G93)</f>
        <v>303747908.61885494</v>
      </c>
      <c r="I14" s="21">
        <f ca="1">H14*(1+'Projections raw data'!H93)</f>
        <v>308232583.80330324</v>
      </c>
      <c r="J14" s="21">
        <f ca="1">I14*(1+'Projections raw data'!I93)</f>
        <v>310808298.46298075</v>
      </c>
      <c r="K14" s="21">
        <f ca="1">J14*(1+'Projections raw data'!J93)</f>
        <v>313231439.02746439</v>
      </c>
      <c r="L14" s="21">
        <f ca="1">K14*(1+'Projections raw data'!K93)</f>
        <v>316773184.45557386</v>
      </c>
      <c r="M14" s="21">
        <f ca="1">L14*(1+'Projections raw data'!L93)</f>
        <v>319328503.33371246</v>
      </c>
      <c r="N14" s="21">
        <f ca="1">M14*(1+'Projections raw data'!M93)</f>
        <v>320347567.09621024</v>
      </c>
      <c r="O14" s="21">
        <f ca="1">N14*(1+'Projections raw data'!N93)</f>
        <v>321611835.62270868</v>
      </c>
      <c r="P14" s="21">
        <f ca="1">O14*(1+'Projections raw data'!O93)</f>
        <v>322561188.70728362</v>
      </c>
      <c r="Q14" s="21">
        <f ca="1">P14*(1+'Projections raw data'!P93)</f>
        <v>323334760.75732642</v>
      </c>
      <c r="R14" s="21">
        <f ca="1">Q14*(1+'Projections raw data'!Q93)</f>
        <v>324352353.3894133</v>
      </c>
      <c r="S14" s="21">
        <f ca="1">R14*(1+'Projections raw data'!R93)</f>
        <v>325372776.47875166</v>
      </c>
      <c r="T14" s="21">
        <f ca="1">S14*(1+'Projections raw data'!S93)</f>
        <v>327115075.05082494</v>
      </c>
      <c r="U14" s="21">
        <f ca="1">T14*(1+'Projections raw data'!T93)</f>
        <v>328555222.31747061</v>
      </c>
      <c r="V14" s="21">
        <f ca="1">U14*(1+'Projections raw data'!U93)</f>
        <v>329688165.5026443</v>
      </c>
      <c r="W14" s="21">
        <f ca="1">V14*(1+'Projections raw data'!V93)</f>
        <v>330480755.75990444</v>
      </c>
      <c r="X14" s="21">
        <f ca="1">W14*(1+'Projections raw data'!W93)</f>
        <v>332005276.91654146</v>
      </c>
      <c r="Y14" s="21">
        <f ca="1">X14*(1+'Projections raw data'!X93)</f>
        <v>334017775.00843334</v>
      </c>
      <c r="Z14" s="21">
        <f ca="1">Y14*(1+'Projections raw data'!Y93)</f>
        <v>335739698.98352993</v>
      </c>
      <c r="AA14" s="21">
        <f ca="1">Z14*(1+'Projections raw data'!Z93)</f>
        <v>336993026.98710746</v>
      </c>
      <c r="AB14" s="21">
        <f ca="1">AA14*(1+'Projections raw data'!AA93)</f>
        <v>338437291.25099713</v>
      </c>
      <c r="AC14" s="21">
        <f ca="1">AB14*(1+'Projections raw data'!AB93)</f>
        <v>340029953.394373</v>
      </c>
      <c r="AD14" s="21">
        <f ca="1">AC14*(1+'Projections raw data'!AC93)</f>
        <v>340807946.20826799</v>
      </c>
      <c r="AE14" s="21">
        <f ca="1">AD14*(1+'Projections raw data'!AD93)</f>
        <v>341115966.06577253</v>
      </c>
      <c r="AF14" s="21">
        <f ca="1">AE14*(1+'Projections raw data'!AE93)</f>
        <v>342147358.71106297</v>
      </c>
      <c r="AG14" s="21">
        <f ca="1">AF14*(1+'Projections raw data'!AF93)</f>
        <v>344429409.73717982</v>
      </c>
      <c r="AH14" s="25">
        <f t="shared" ca="1" si="0"/>
        <v>1.2341742969666512</v>
      </c>
      <c r="AI14" s="25">
        <f ca="1">'Projections raw data'!AG77</f>
        <v>1.2381214117681119</v>
      </c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</row>
    <row r="15" spans="1:209" ht="13.2">
      <c r="A15" s="2" t="s">
        <v>5</v>
      </c>
      <c r="B15" s="2" t="s">
        <v>48</v>
      </c>
      <c r="C15" s="2" t="s">
        <v>14</v>
      </c>
      <c r="D15" s="21">
        <f>'Dayton Kettering MSA Summary'!K16*MMBTU_per_scf*1000</f>
        <v>530289.65299999993</v>
      </c>
      <c r="E15" s="21">
        <f ca="1">D15*(1+'Projections raw data'!D94)</f>
        <v>544570.75215586473</v>
      </c>
      <c r="F15" s="21">
        <f ca="1">E15*(1+'Projections raw data'!E94)</f>
        <v>566919.23776433547</v>
      </c>
      <c r="G15" s="21">
        <f ca="1">F15*(1+'Projections raw data'!F94)</f>
        <v>570426.52792941139</v>
      </c>
      <c r="H15" s="21">
        <f ca="1">G15*(1+'Projections raw data'!G94)</f>
        <v>575811.58031857212</v>
      </c>
      <c r="I15" s="21">
        <f ca="1">H15*(1+'Projections raw data'!H94)</f>
        <v>584333.04625583324</v>
      </c>
      <c r="J15" s="21">
        <f ca="1">I15*(1+'Projections raw data'!I94)</f>
        <v>585741.75546590821</v>
      </c>
      <c r="K15" s="21">
        <f ca="1">J15*(1+'Projections raw data'!J94)</f>
        <v>587505.96425548207</v>
      </c>
      <c r="L15" s="21">
        <f ca="1">K15*(1+'Projections raw data'!K94)</f>
        <v>591512.00789446768</v>
      </c>
      <c r="M15" s="21">
        <f ca="1">L15*(1+'Projections raw data'!L94)</f>
        <v>595877.84782619018</v>
      </c>
      <c r="N15" s="21">
        <f ca="1">M15*(1+'Projections raw data'!M94)</f>
        <v>595693.88538839889</v>
      </c>
      <c r="O15" s="21">
        <f ca="1">N15*(1+'Projections raw data'!N94)</f>
        <v>597616.98458506609</v>
      </c>
      <c r="P15" s="21">
        <f ca="1">O15*(1+'Projections raw data'!O94)</f>
        <v>597360.7701713189</v>
      </c>
      <c r="Q15" s="21">
        <f ca="1">P15*(1+'Projections raw data'!P94)</f>
        <v>597420.12930881965</v>
      </c>
      <c r="R15" s="21">
        <f ca="1">Q15*(1+'Projections raw data'!Q94)</f>
        <v>599455.23375573358</v>
      </c>
      <c r="S15" s="21">
        <f ca="1">R15*(1+'Projections raw data'!R94)</f>
        <v>600524.97073442035</v>
      </c>
      <c r="T15" s="21">
        <f ca="1">S15*(1+'Projections raw data'!S94)</f>
        <v>602445.71839699172</v>
      </c>
      <c r="U15" s="21">
        <f ca="1">T15*(1+'Projections raw data'!T94)</f>
        <v>605194.94394463825</v>
      </c>
      <c r="V15" s="21">
        <f ca="1">U15*(1+'Projections raw data'!U94)</f>
        <v>607024.14740468864</v>
      </c>
      <c r="W15" s="21">
        <f ca="1">V15*(1+'Projections raw data'!V94)</f>
        <v>609581.93892739329</v>
      </c>
      <c r="X15" s="21">
        <f ca="1">W15*(1+'Projections raw data'!W94)</f>
        <v>613642.48105540231</v>
      </c>
      <c r="Y15" s="21">
        <f ca="1">X15*(1+'Projections raw data'!X94)</f>
        <v>619157.47069442971</v>
      </c>
      <c r="Z15" s="21">
        <f ca="1">Y15*(1+'Projections raw data'!Y94)</f>
        <v>625512.76536939328</v>
      </c>
      <c r="AA15" s="21">
        <f ca="1">Z15*(1+'Projections raw data'!Z94)</f>
        <v>628672.5790861249</v>
      </c>
      <c r="AB15" s="21">
        <f ca="1">AA15*(1+'Projections raw data'!AA94)</f>
        <v>635516.26939269993</v>
      </c>
      <c r="AC15" s="21">
        <f ca="1">AB15*(1+'Projections raw data'!AB94)</f>
        <v>640058.15043909766</v>
      </c>
      <c r="AD15" s="21">
        <f ca="1">AC15*(1+'Projections raw data'!AC94)</f>
        <v>642397.67356779717</v>
      </c>
      <c r="AE15" s="21">
        <f ca="1">AD15*(1+'Projections raw data'!AD94)</f>
        <v>645971.70997024933</v>
      </c>
      <c r="AF15" s="21">
        <f ca="1">AE15*(1+'Projections raw data'!AE94)</f>
        <v>649764.85950273043</v>
      </c>
      <c r="AG15" s="21">
        <f ca="1">AF15*(1+'Projections raw data'!AF94)</f>
        <v>656639.30066030833</v>
      </c>
      <c r="AH15" s="25">
        <f t="shared" ca="1" si="0"/>
        <v>1.238265346015168</v>
      </c>
      <c r="AI15" s="25">
        <f ca="1">'Projections raw data'!AG78</f>
        <v>1.2426978518623828</v>
      </c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</row>
    <row r="16" spans="1:209" ht="13.2">
      <c r="A16" s="2" t="s">
        <v>5</v>
      </c>
      <c r="B16" s="2" t="s">
        <v>50</v>
      </c>
      <c r="C16" s="2" t="s">
        <v>44</v>
      </c>
      <c r="D16" s="21"/>
      <c r="E16" s="21">
        <f ca="1">'Projections raw data'!D84</f>
        <v>1478913.3527223987</v>
      </c>
      <c r="F16" s="21">
        <f ca="1">'Projections raw data'!E84</f>
        <v>1950293.251015987</v>
      </c>
      <c r="G16" s="21">
        <f ca="1">'Projections raw data'!F84</f>
        <v>2474832.6585146636</v>
      </c>
      <c r="H16" s="21">
        <f ca="1">'Projections raw data'!G84</f>
        <v>3038284.8855492407</v>
      </c>
      <c r="I16" s="21">
        <f ca="1">'Projections raw data'!H84</f>
        <v>3639857.5985898655</v>
      </c>
      <c r="J16" s="21">
        <f ca="1">'Projections raw data'!I84</f>
        <v>4256918.8424600288</v>
      </c>
      <c r="K16" s="21">
        <f ca="1">'Projections raw data'!J84</f>
        <v>4875826.0791066261</v>
      </c>
      <c r="L16" s="21">
        <f ca="1">'Projections raw data'!K84</f>
        <v>5505273.0941710826</v>
      </c>
      <c r="M16" s="21">
        <f ca="1">'Projections raw data'!L84</f>
        <v>6148985.9361379994</v>
      </c>
      <c r="N16" s="21">
        <f ca="1">'Projections raw data'!M84</f>
        <v>6759720.4339895817</v>
      </c>
      <c r="O16" s="21">
        <f ca="1">'Projections raw data'!N84</f>
        <v>7359072.403551314</v>
      </c>
      <c r="P16" s="21">
        <f ca="1">'Projections raw data'!O84</f>
        <v>7960100.6327072578</v>
      </c>
      <c r="Q16" s="21">
        <f ca="1">'Projections raw data'!P84</f>
        <v>8562509.0689278264</v>
      </c>
      <c r="R16" s="21">
        <f ca="1">'Projections raw data'!Q84</f>
        <v>9157833.746577844</v>
      </c>
      <c r="S16" s="21">
        <f ca="1">'Projections raw data'!R84</f>
        <v>9752447.1292906944</v>
      </c>
      <c r="T16" s="21">
        <f ca="1">'Projections raw data'!S84</f>
        <v>10349079.30216535</v>
      </c>
      <c r="U16" s="21">
        <f ca="1">'Projections raw data'!T84</f>
        <v>10945621.889921576</v>
      </c>
      <c r="V16" s="21">
        <f ca="1">'Projections raw data'!U84</f>
        <v>11541178.73948163</v>
      </c>
      <c r="W16" s="21">
        <f ca="1">'Projections raw data'!V84</f>
        <v>12136665.336122198</v>
      </c>
      <c r="X16" s="21">
        <f ca="1">'Projections raw data'!W84</f>
        <v>12722445.42904794</v>
      </c>
      <c r="Y16" s="21">
        <f ca="1">'Projections raw data'!X84</f>
        <v>13302159.842747871</v>
      </c>
      <c r="Z16" s="21">
        <f ca="1">'Projections raw data'!Y84</f>
        <v>13885461.190155666</v>
      </c>
      <c r="AA16" s="21">
        <f ca="1">'Projections raw data'!Z84</f>
        <v>14476563.238387082</v>
      </c>
      <c r="AB16" s="21">
        <f ca="1">'Projections raw data'!AA84</f>
        <v>15053509.720479606</v>
      </c>
      <c r="AC16" s="21">
        <f ca="1">'Projections raw data'!AB84</f>
        <v>15631659.542259688</v>
      </c>
      <c r="AD16" s="21">
        <f ca="1">'Projections raw data'!AC84</f>
        <v>16201106.888553731</v>
      </c>
      <c r="AE16" s="21">
        <f ca="1">'Projections raw data'!AD84</f>
        <v>16763074.759923169</v>
      </c>
      <c r="AF16" s="21">
        <f ca="1">'Projections raw data'!AE84</f>
        <v>17329883.151253134</v>
      </c>
      <c r="AG16" s="21">
        <f>'Projections raw data'!AF84</f>
        <v>17903329.832268056</v>
      </c>
      <c r="AH16" s="25">
        <f ca="1">AG16/E16</f>
        <v>12.105732766095745</v>
      </c>
      <c r="AI16" s="25">
        <f ca="1">'Projections raw data'!AG77</f>
        <v>1.2381214117681119</v>
      </c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</row>
    <row r="17" spans="1:209" ht="13.2">
      <c r="A17" s="2" t="s">
        <v>5</v>
      </c>
      <c r="B17" s="2" t="s">
        <v>50</v>
      </c>
      <c r="C17" s="2" t="s">
        <v>46</v>
      </c>
      <c r="D17" s="21">
        <f t="array" ref="D17">SUMPRODUCT('Dayton Kettering MSA Summary'!B24:D24*1000000,1/'Emissions Factors'!C31:E31)</f>
        <v>7438698.4181075664</v>
      </c>
      <c r="E17" s="21">
        <f ca="1">D17*(1+'Projections raw data'!D97)</f>
        <v>7694469.3051750381</v>
      </c>
      <c r="F17" s="21">
        <f ca="1">E17*(1+'Projections raw data'!E97)</f>
        <v>7877034.5746994438</v>
      </c>
      <c r="G17" s="21">
        <f ca="1">F17*(1+'Projections raw data'!F97)</f>
        <v>7891837.343279968</v>
      </c>
      <c r="H17" s="21">
        <f ca="1">G17*(1+'Projections raw data'!G97)</f>
        <v>7896323.6220637485</v>
      </c>
      <c r="I17" s="21">
        <f ca="1">H17*(1+'Projections raw data'!H97)</f>
        <v>7881724.9709048932</v>
      </c>
      <c r="J17" s="21">
        <f ca="1">I17*(1+'Projections raw data'!I97)</f>
        <v>7853226.151047634</v>
      </c>
      <c r="K17" s="21">
        <f ca="1">J17*(1+'Projections raw data'!J97)</f>
        <v>7819165.8193145255</v>
      </c>
      <c r="L17" s="21">
        <f ca="1">K17*(1+'Projections raw data'!K97)</f>
        <v>7792112.0954452101</v>
      </c>
      <c r="M17" s="21">
        <f ca="1">L17*(1+'Projections raw data'!L97)</f>
        <v>7773699.1010975316</v>
      </c>
      <c r="N17" s="21">
        <f ca="1">M17*(1+'Projections raw data'!M97)</f>
        <v>7711651.8051904328</v>
      </c>
      <c r="O17" s="21">
        <f ca="1">N17*(1+'Projections raw data'!N97)</f>
        <v>7646169.6702747196</v>
      </c>
      <c r="P17" s="21">
        <f ca="1">O17*(1+'Projections raw data'!O97)</f>
        <v>7594980.3768082559</v>
      </c>
      <c r="Q17" s="21">
        <f ca="1">P17*(1+'Projections raw data'!P97)</f>
        <v>7546989.5797173483</v>
      </c>
      <c r="R17" s="21">
        <f ca="1">Q17*(1+'Projections raw data'!Q97)</f>
        <v>7498183.060617595</v>
      </c>
      <c r="S17" s="21">
        <f ca="1">R17*(1+'Projections raw data'!R97)</f>
        <v>7455051.8370197145</v>
      </c>
      <c r="T17" s="21">
        <f ca="1">S17*(1+'Projections raw data'!S97)</f>
        <v>7421275.8743892182</v>
      </c>
      <c r="U17" s="21">
        <f ca="1">T17*(1+'Projections raw data'!T97)</f>
        <v>7391392.8628585758</v>
      </c>
      <c r="V17" s="21">
        <f ca="1">U17*(1+'Projections raw data'!U97)</f>
        <v>7368889.5081969891</v>
      </c>
      <c r="W17" s="21">
        <f ca="1">V17*(1+'Projections raw data'!V97)</f>
        <v>7351215.6229080828</v>
      </c>
      <c r="X17" s="21">
        <f ca="1">W17*(1+'Projections raw data'!W97)</f>
        <v>7336605.6942503657</v>
      </c>
      <c r="Y17" s="21">
        <f ca="1">X17*(1+'Projections raw data'!X97)</f>
        <v>7326073.6269466793</v>
      </c>
      <c r="Z17" s="21">
        <f ca="1">Y17*(1+'Projections raw data'!Y97)</f>
        <v>7317862.4693902321</v>
      </c>
      <c r="AA17" s="21">
        <f ca="1">Z17*(1+'Projections raw data'!Z97)</f>
        <v>7314246.3711124547</v>
      </c>
      <c r="AB17" s="21">
        <f ca="1">AA17*(1+'Projections raw data'!AA97)</f>
        <v>7315719.6646511238</v>
      </c>
      <c r="AC17" s="21">
        <f ca="1">AB17*(1+'Projections raw data'!AB97)</f>
        <v>7324310.3520755479</v>
      </c>
      <c r="AD17" s="21">
        <f ca="1">AC17*(1+'Projections raw data'!AC97)</f>
        <v>7332391.4171975218</v>
      </c>
      <c r="AE17" s="21">
        <f ca="1">AD17*(1+'Projections raw data'!AD97)</f>
        <v>7341047.6113196565</v>
      </c>
      <c r="AF17" s="21">
        <f ca="1">AE17*(1+'Projections raw data'!AE97)</f>
        <v>7356097.5733755259</v>
      </c>
      <c r="AG17" s="21">
        <f ca="1">AF17*(1+'Projections raw data'!AF97)</f>
        <v>7378556.0921082422</v>
      </c>
      <c r="AH17" s="25">
        <f t="shared" ref="AH17:AH24" ca="1" si="1">AG17/D17</f>
        <v>0.9919149396011373</v>
      </c>
      <c r="AI17" s="25">
        <f ca="1">'Projections raw data'!AG81</f>
        <v>0.99407478481249856</v>
      </c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</row>
    <row r="18" spans="1:209" ht="13.2">
      <c r="A18" s="2" t="s">
        <v>5</v>
      </c>
      <c r="B18" s="2" t="s">
        <v>50</v>
      </c>
      <c r="C18" s="2" t="s">
        <v>51</v>
      </c>
      <c r="D18" s="21">
        <f>SUM('Dayton Kettering MSA Summary'!E24:G24)*1000000/'Emissions Factors'!$I$31</f>
        <v>1755382.1497064228</v>
      </c>
      <c r="E18" s="21">
        <f ca="1">D18*(1+'Projections raw data'!D98)</f>
        <v>1778045.8383616696</v>
      </c>
      <c r="F18" s="21">
        <f ca="1">E18*(1+'Projections raw data'!E98)</f>
        <v>1807425.989268919</v>
      </c>
      <c r="G18" s="21">
        <f ca="1">F18*(1+'Projections raw data'!F98)</f>
        <v>1801514.7996773464</v>
      </c>
      <c r="H18" s="21">
        <f ca="1">G18*(1+'Projections raw data'!G98)</f>
        <v>1803317.3082281926</v>
      </c>
      <c r="I18" s="21">
        <f ca="1">H18*(1+'Projections raw data'!H98)</f>
        <v>1800594.0884060734</v>
      </c>
      <c r="J18" s="21">
        <f ca="1">I18*(1+'Projections raw data'!I98)</f>
        <v>1791020.0694216769</v>
      </c>
      <c r="K18" s="21">
        <f ca="1">J18*(1+'Projections raw data'!J98)</f>
        <v>1780902.3518896592</v>
      </c>
      <c r="L18" s="21">
        <f ca="1">K18*(1+'Projections raw data'!K98)</f>
        <v>1769510.3770506864</v>
      </c>
      <c r="M18" s="21">
        <f ca="1">L18*(1+'Projections raw data'!L98)</f>
        <v>1757971.5192038708</v>
      </c>
      <c r="N18" s="21">
        <f ca="1">M18*(1+'Projections raw data'!M98)</f>
        <v>1732138.6481123315</v>
      </c>
      <c r="O18" s="21">
        <f ca="1">N18*(1+'Projections raw data'!N98)</f>
        <v>1710142.1777120002</v>
      </c>
      <c r="P18" s="21">
        <f ca="1">O18*(1+'Projections raw data'!O98)</f>
        <v>1690452.3997273592</v>
      </c>
      <c r="Q18" s="21">
        <f ca="1">P18*(1+'Projections raw data'!P98)</f>
        <v>1669776.0072340772</v>
      </c>
      <c r="R18" s="21">
        <f ca="1">Q18*(1+'Projections raw data'!Q98)</f>
        <v>1651522.2736149842</v>
      </c>
      <c r="S18" s="21">
        <f ca="1">R18*(1+'Projections raw data'!R98)</f>
        <v>1633869.5998724485</v>
      </c>
      <c r="T18" s="21">
        <f ca="1">S18*(1+'Projections raw data'!S98)</f>
        <v>1620442.6421245821</v>
      </c>
      <c r="U18" s="21">
        <f ca="1">T18*(1+'Projections raw data'!T98)</f>
        <v>1608639.8368458613</v>
      </c>
      <c r="V18" s="21">
        <f ca="1">U18*(1+'Projections raw data'!U98)</f>
        <v>1595966.1233692556</v>
      </c>
      <c r="W18" s="21">
        <f ca="1">V18*(1+'Projections raw data'!V98)</f>
        <v>1585350.2362385702</v>
      </c>
      <c r="X18" s="21">
        <f ca="1">W18*(1+'Projections raw data'!W98)</f>
        <v>1575501.2948096357</v>
      </c>
      <c r="Y18" s="21">
        <f ca="1">X18*(1+'Projections raw data'!X98)</f>
        <v>1569119.4295863104</v>
      </c>
      <c r="Z18" s="21">
        <f ca="1">Y18*(1+'Projections raw data'!Y98)</f>
        <v>1563249.7320910976</v>
      </c>
      <c r="AA18" s="21">
        <f ca="1">Z18*(1+'Projections raw data'!Z98)</f>
        <v>1556249.8968160485</v>
      </c>
      <c r="AB18" s="21">
        <f ca="1">AA18*(1+'Projections raw data'!AA98)</f>
        <v>1548968.3885717404</v>
      </c>
      <c r="AC18" s="21">
        <f ca="1">AB18*(1+'Projections raw data'!AB98)</f>
        <v>1543251.3083897152</v>
      </c>
      <c r="AD18" s="21">
        <f ca="1">AC18*(1+'Projections raw data'!AC98)</f>
        <v>1535039.3027213758</v>
      </c>
      <c r="AE18" s="21">
        <f ca="1">AD18*(1+'Projections raw data'!AD98)</f>
        <v>1524535.1286623941</v>
      </c>
      <c r="AF18" s="21">
        <f ca="1">AE18*(1+'Projections raw data'!AE98)</f>
        <v>1517120.8348348506</v>
      </c>
      <c r="AG18" s="21">
        <f ca="1">AF18*(1+'Projections raw data'!AF98)</f>
        <v>1512930.3830045171</v>
      </c>
      <c r="AH18" s="25">
        <f t="shared" ca="1" si="1"/>
        <v>0.86188092049218212</v>
      </c>
      <c r="AI18" s="25">
        <f ca="1">'Projections raw data'!AG82</f>
        <v>0.86356190898282004</v>
      </c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</row>
    <row r="19" spans="1:209" ht="13.2">
      <c r="A19" s="20" t="s">
        <v>9</v>
      </c>
      <c r="B19" s="2" t="s">
        <v>43</v>
      </c>
      <c r="C19" s="2" t="s">
        <v>44</v>
      </c>
      <c r="D19" s="21">
        <f>'Dayton Kettering MSA Summary'!G5</f>
        <v>534926238</v>
      </c>
      <c r="E19" s="21">
        <f ca="1">D19*(1+'Projections raw data'!D120)</f>
        <v>515403537.89077568</v>
      </c>
      <c r="F19" s="21">
        <f ca="1">E19*(1+'Projections raw data'!E120)</f>
        <v>537801397.17983913</v>
      </c>
      <c r="G19" s="21">
        <f ca="1">F19*(1+'Projections raw data'!F120)</f>
        <v>543866117.74361718</v>
      </c>
      <c r="H19" s="21">
        <f ca="1">G19*(1+'Projections raw data'!G120)</f>
        <v>549053112.85369158</v>
      </c>
      <c r="I19" s="21">
        <f ca="1">H19*(1+'Projections raw data'!H120)</f>
        <v>553029550.27349591</v>
      </c>
      <c r="J19" s="21">
        <f ca="1">I19*(1+'Projections raw data'!I120)</f>
        <v>556480980.10501873</v>
      </c>
      <c r="K19" s="21">
        <f ca="1">J19*(1+'Projections raw data'!J120)</f>
        <v>559969490.12310755</v>
      </c>
      <c r="L19" s="21">
        <f ca="1">K19*(1+'Projections raw data'!K120)</f>
        <v>563694962.8679539</v>
      </c>
      <c r="M19" s="21">
        <f ca="1">L19*(1+'Projections raw data'!L120)</f>
        <v>566320869.11611187</v>
      </c>
      <c r="N19" s="21">
        <f ca="1">M19*(1+'Projections raw data'!M120)</f>
        <v>565503806.61680794</v>
      </c>
      <c r="O19" s="21">
        <f ca="1">N19*(1+'Projections raw data'!N120)</f>
        <v>565220189.97465253</v>
      </c>
      <c r="P19" s="21">
        <f ca="1">O19*(1+'Projections raw data'!O120)</f>
        <v>565607078.93123353</v>
      </c>
      <c r="Q19" s="21">
        <f ca="1">P19*(1+'Projections raw data'!P120)</f>
        <v>566577558.44187546</v>
      </c>
      <c r="R19" s="21">
        <f ca="1">Q19*(1+'Projections raw data'!Q120)</f>
        <v>567981946.08326685</v>
      </c>
      <c r="S19" s="21">
        <f ca="1">R19*(1+'Projections raw data'!R120)</f>
        <v>569504576.39143682</v>
      </c>
      <c r="T19" s="21">
        <f ca="1">S19*(1+'Projections raw data'!S120)</f>
        <v>571445373.24526691</v>
      </c>
      <c r="U19" s="21">
        <f ca="1">T19*(1+'Projections raw data'!T120)</f>
        <v>573367733.16992438</v>
      </c>
      <c r="V19" s="21">
        <f ca="1">U19*(1+'Projections raw data'!U120)</f>
        <v>575213208.32252455</v>
      </c>
      <c r="W19" s="21">
        <f ca="1">V19*(1+'Projections raw data'!V120)</f>
        <v>576603566.73893797</v>
      </c>
      <c r="X19" s="21">
        <f ca="1">W19*(1+'Projections raw data'!W120)</f>
        <v>577791992.02710998</v>
      </c>
      <c r="Y19" s="21">
        <f ca="1">X19*(1+'Projections raw data'!X120)</f>
        <v>579450295.37732494</v>
      </c>
      <c r="Z19" s="21">
        <f ca="1">Y19*(1+'Projections raw data'!Y120)</f>
        <v>581442575.58389747</v>
      </c>
      <c r="AA19" s="21">
        <f ca="1">Z19*(1+'Projections raw data'!Z120)</f>
        <v>583841169.98034918</v>
      </c>
      <c r="AB19" s="21">
        <f ca="1">AA19*(1+'Projections raw data'!AA120)</f>
        <v>586426714.03832376</v>
      </c>
      <c r="AC19" s="21">
        <f ca="1">AB19*(1+'Projections raw data'!AB120)</f>
        <v>589189996.90320635</v>
      </c>
      <c r="AD19" s="21">
        <f ca="1">AC19*(1+'Projections raw data'!AC120)</f>
        <v>591985506.59573591</v>
      </c>
      <c r="AE19" s="21">
        <f ca="1">AD19*(1+'Projections raw data'!AD120)</f>
        <v>595162418.52892029</v>
      </c>
      <c r="AF19" s="21">
        <f ca="1">AE19*(1+'Projections raw data'!AE120)</f>
        <v>598732315.72189403</v>
      </c>
      <c r="AG19" s="21">
        <f ca="1">AF19*(1+'Projections raw data'!AF120)</f>
        <v>602675065.71675348</v>
      </c>
      <c r="AH19" s="25">
        <f t="shared" ca="1" si="1"/>
        <v>1.1266507845456508</v>
      </c>
      <c r="AI19" s="25">
        <f ca="1">'Projections raw data'!AG104</f>
        <v>1.1310645599037124</v>
      </c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</row>
    <row r="20" spans="1:209" ht="13.2">
      <c r="A20" s="20" t="s">
        <v>9</v>
      </c>
      <c r="B20" s="2" t="s">
        <v>43</v>
      </c>
      <c r="C20" s="2" t="s">
        <v>14</v>
      </c>
      <c r="D20" s="21">
        <f>'Dayton Kettering MSA Summary'!G17*MMBTU_per_scf*1000</f>
        <v>1824194.996</v>
      </c>
      <c r="E20" s="21">
        <f ca="1">D20*(1+'Projections raw data'!D121)</f>
        <v>1764385.7211992519</v>
      </c>
      <c r="F20" s="21">
        <f ca="1">E20*(1+'Projections raw data'!E121)</f>
        <v>1929527.3942045288</v>
      </c>
      <c r="G20" s="21">
        <f ca="1">F20*(1+'Projections raw data'!F121)</f>
        <v>1945516.9535409266</v>
      </c>
      <c r="H20" s="21">
        <f ca="1">G20*(1+'Projections raw data'!G121)</f>
        <v>1957064.9534811834</v>
      </c>
      <c r="I20" s="21">
        <f ca="1">H20*(1+'Projections raw data'!H121)</f>
        <v>1958684.7683765115</v>
      </c>
      <c r="J20" s="21">
        <f ca="1">I20*(1+'Projections raw data'!I121)</f>
        <v>1955912.251295151</v>
      </c>
      <c r="K20" s="21">
        <f ca="1">J20*(1+'Projections raw data'!J121)</f>
        <v>1950367.8869636781</v>
      </c>
      <c r="L20" s="21">
        <f ca="1">K20*(1+'Projections raw data'!K121)</f>
        <v>1942449.1581482296</v>
      </c>
      <c r="M20" s="21">
        <f ca="1">L20*(1+'Projections raw data'!L121)</f>
        <v>1936266.9212803787</v>
      </c>
      <c r="N20" s="21">
        <f ca="1">M20*(1+'Projections raw data'!M121)</f>
        <v>1918876.969899876</v>
      </c>
      <c r="O20" s="21">
        <f ca="1">N20*(1+'Projections raw data'!N121)</f>
        <v>1903354.6948283254</v>
      </c>
      <c r="P20" s="21">
        <f ca="1">O20*(1+'Projections raw data'!O121)</f>
        <v>1887652.5851085116</v>
      </c>
      <c r="Q20" s="21">
        <f ca="1">P20*(1+'Projections raw data'!P121)</f>
        <v>1873400.9014087743</v>
      </c>
      <c r="R20" s="21">
        <f ca="1">Q20*(1+'Projections raw data'!Q121)</f>
        <v>1861016.6112370635</v>
      </c>
      <c r="S20" s="21">
        <f ca="1">R20*(1+'Projections raw data'!R121)</f>
        <v>1849145.3061435716</v>
      </c>
      <c r="T20" s="21">
        <f ca="1">S20*(1+'Projections raw data'!S121)</f>
        <v>1836874.0173580316</v>
      </c>
      <c r="U20" s="21">
        <f ca="1">T20*(1+'Projections raw data'!T121)</f>
        <v>1824644.6580960881</v>
      </c>
      <c r="V20" s="21">
        <f ca="1">U20*(1+'Projections raw data'!U121)</f>
        <v>1812807.5611832624</v>
      </c>
      <c r="W20" s="21">
        <f ca="1">V20*(1+'Projections raw data'!V121)</f>
        <v>1801581.748150029</v>
      </c>
      <c r="X20" s="21">
        <f ca="1">W20*(1+'Projections raw data'!W121)</f>
        <v>1790666.8126117145</v>
      </c>
      <c r="Y20" s="21">
        <f ca="1">X20*(1+'Projections raw data'!X121)</f>
        <v>1779973.0034909642</v>
      </c>
      <c r="Z20" s="21">
        <f ca="1">Y20*(1+'Projections raw data'!Y121)</f>
        <v>1769371.2585269306</v>
      </c>
      <c r="AA20" s="21">
        <f ca="1">Z20*(1+'Projections raw data'!Z121)</f>
        <v>1759741.1596065473</v>
      </c>
      <c r="AB20" s="21">
        <f ca="1">AA20*(1+'Projections raw data'!AA121)</f>
        <v>1749771.2528387278</v>
      </c>
      <c r="AC20" s="21">
        <f ca="1">AB20*(1+'Projections raw data'!AB121)</f>
        <v>1739622.4676902099</v>
      </c>
      <c r="AD20" s="21">
        <f ca="1">AC20*(1+'Projections raw data'!AC121)</f>
        <v>1729262.1551849195</v>
      </c>
      <c r="AE20" s="21">
        <f ca="1">AD20*(1+'Projections raw data'!AD121)</f>
        <v>1718816.8451310289</v>
      </c>
      <c r="AF20" s="21">
        <f ca="1">AE20*(1+'Projections raw data'!AE121)</f>
        <v>1708134.4719498006</v>
      </c>
      <c r="AG20" s="21">
        <f ca="1">AF20*(1+'Projections raw data'!AF121)</f>
        <v>1697314.8526375059</v>
      </c>
      <c r="AH20" s="25">
        <f t="shared" ca="1" si="1"/>
        <v>0.93044595361750781</v>
      </c>
      <c r="AI20" s="25">
        <f ca="1">'Projections raw data'!AG105</f>
        <v>0.94063774664892519</v>
      </c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</row>
    <row r="21" spans="1:209" ht="13.2">
      <c r="A21" s="20" t="s">
        <v>9</v>
      </c>
      <c r="B21" s="2" t="s">
        <v>45</v>
      </c>
      <c r="C21" s="2" t="s">
        <v>44</v>
      </c>
      <c r="D21" s="21">
        <f>'Dayton Kettering MSA Summary'!C5</f>
        <v>297267021</v>
      </c>
      <c r="E21" s="21">
        <f ca="1">D21*(1+'Projections raw data'!D122)</f>
        <v>299991524.19839519</v>
      </c>
      <c r="F21" s="21">
        <f ca="1">E21*(1+'Projections raw data'!E122)</f>
        <v>302853579.27353168</v>
      </c>
      <c r="G21" s="21">
        <f ca="1">F21*(1+'Projections raw data'!F122)</f>
        <v>304027022.92412406</v>
      </c>
      <c r="H21" s="21">
        <f ca="1">G21*(1+'Projections raw data'!G122)</f>
        <v>305291032.54701704</v>
      </c>
      <c r="I21" s="21">
        <f ca="1">H21*(1+'Projections raw data'!H122)</f>
        <v>305555027.40952098</v>
      </c>
      <c r="J21" s="21">
        <f ca="1">I21*(1+'Projections raw data'!I122)</f>
        <v>306772205.92021549</v>
      </c>
      <c r="K21" s="21">
        <f ca="1">J21*(1+'Projections raw data'!J122)</f>
        <v>307846720.18586159</v>
      </c>
      <c r="L21" s="21">
        <f ca="1">K21*(1+'Projections raw data'!K122)</f>
        <v>309024831.41273564</v>
      </c>
      <c r="M21" s="21">
        <f ca="1">L21*(1+'Projections raw data'!L122)</f>
        <v>309293702.26208723</v>
      </c>
      <c r="N21" s="21">
        <f ca="1">M21*(1+'Projections raw data'!M122)</f>
        <v>308234984.12897992</v>
      </c>
      <c r="O21" s="21">
        <f ca="1">N21*(1+'Projections raw data'!N122)</f>
        <v>307554672.28969181</v>
      </c>
      <c r="P21" s="21">
        <f ca="1">O21*(1+'Projections raw data'!O122)</f>
        <v>307352648.15253603</v>
      </c>
      <c r="Q21" s="21">
        <f ca="1">P21*(1+'Projections raw data'!P122)</f>
        <v>307532630.01957184</v>
      </c>
      <c r="R21" s="21">
        <f ca="1">Q21*(1+'Projections raw data'!Q122)</f>
        <v>307910170.02386832</v>
      </c>
      <c r="S21" s="21">
        <f ca="1">R21*(1+'Projections raw data'!R122)</f>
        <v>308313330.83266181</v>
      </c>
      <c r="T21" s="21">
        <f ca="1">S21*(1+'Projections raw data'!S122)</f>
        <v>308822116.53609592</v>
      </c>
      <c r="U21" s="21">
        <f ca="1">T21*(1+'Projections raw data'!T122)</f>
        <v>309425640.93722063</v>
      </c>
      <c r="V21" s="21">
        <f ca="1">U21*(1+'Projections raw data'!U122)</f>
        <v>309853009.47059381</v>
      </c>
      <c r="W21" s="21">
        <f ca="1">V21*(1+'Projections raw data'!V122)</f>
        <v>310038949.97841793</v>
      </c>
      <c r="X21" s="21">
        <f ca="1">W21*(1+'Projections raw data'!W122)</f>
        <v>310608997.05396456</v>
      </c>
      <c r="Y21" s="21">
        <f ca="1">X21*(1+'Projections raw data'!X122)</f>
        <v>311509723.99855196</v>
      </c>
      <c r="Z21" s="21">
        <f ca="1">Y21*(1+'Projections raw data'!Y122)</f>
        <v>312604661.73490918</v>
      </c>
      <c r="AA21" s="21">
        <f ca="1">Z21*(1+'Projections raw data'!Z122)</f>
        <v>313730593.43269593</v>
      </c>
      <c r="AB21" s="21">
        <f ca="1">AA21*(1+'Projections raw data'!AA122)</f>
        <v>315025928.72410429</v>
      </c>
      <c r="AC21" s="21">
        <f ca="1">AB21*(1+'Projections raw data'!AB122)</f>
        <v>316029424.36306965</v>
      </c>
      <c r="AD21" s="21">
        <f ca="1">AC21*(1+'Projections raw data'!AC122)</f>
        <v>317304217.14585358</v>
      </c>
      <c r="AE21" s="21">
        <f ca="1">AD21*(1+'Projections raw data'!AD122)</f>
        <v>318609536.28450269</v>
      </c>
      <c r="AF21" s="21">
        <f ca="1">AE21*(1+'Projections raw data'!AE122)</f>
        <v>320262564.1343298</v>
      </c>
      <c r="AG21" s="21">
        <f ca="1">AF21*(1+'Projections raw data'!AF122)</f>
        <v>322021961.44262731</v>
      </c>
      <c r="AH21" s="25">
        <f t="shared" ca="1" si="1"/>
        <v>1.083275098459803</v>
      </c>
      <c r="AI21" s="25">
        <f ca="1">'Projections raw data'!AG106</f>
        <v>1.0837470908269147</v>
      </c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</row>
    <row r="22" spans="1:209" ht="13.2">
      <c r="A22" s="20" t="s">
        <v>9</v>
      </c>
      <c r="B22" s="2" t="s">
        <v>45</v>
      </c>
      <c r="C22" s="2" t="s">
        <v>14</v>
      </c>
      <c r="D22" s="21">
        <f>'Dayton Kettering MSA Summary'!C17*MMBTU_per_scf*1000</f>
        <v>1213025.5649999999</v>
      </c>
      <c r="E22" s="21">
        <f ca="1">D22*(1+'Projections raw data'!D123)</f>
        <v>1257035.8801798096</v>
      </c>
      <c r="F22" s="21">
        <f ca="1">E22*(1+'Projections raw data'!E123)</f>
        <v>1243399.3371146794</v>
      </c>
      <c r="G22" s="21">
        <f ca="1">F22*(1+'Projections raw data'!F123)</f>
        <v>1251548.7050696395</v>
      </c>
      <c r="H22" s="21">
        <f ca="1">G22*(1+'Projections raw data'!G123)</f>
        <v>1262539.9226603934</v>
      </c>
      <c r="I22" s="21">
        <f ca="1">H22*(1+'Projections raw data'!H123)</f>
        <v>1268472.828770414</v>
      </c>
      <c r="J22" s="21">
        <f ca="1">I22*(1+'Projections raw data'!I123)</f>
        <v>1278867.6573850319</v>
      </c>
      <c r="K22" s="21">
        <f ca="1">J22*(1+'Projections raw data'!J123)</f>
        <v>1283928.6217817564</v>
      </c>
      <c r="L22" s="21">
        <f ca="1">K22*(1+'Projections raw data'!K123)</f>
        <v>1284551.3699822107</v>
      </c>
      <c r="M22" s="21">
        <f ca="1">L22*(1+'Projections raw data'!L123)</f>
        <v>1286031.3918148079</v>
      </c>
      <c r="N22" s="21">
        <f ca="1">M22*(1+'Projections raw data'!M123)</f>
        <v>1281612.6058868384</v>
      </c>
      <c r="O22" s="21">
        <f ca="1">N22*(1+'Projections raw data'!N123)</f>
        <v>1278956.9816626117</v>
      </c>
      <c r="P22" s="21">
        <f ca="1">O22*(1+'Projections raw data'!O123)</f>
        <v>1275399.7776365937</v>
      </c>
      <c r="Q22" s="21">
        <f ca="1">P22*(1+'Projections raw data'!P123)</f>
        <v>1273072.6224871841</v>
      </c>
      <c r="R22" s="21">
        <f ca="1">Q22*(1+'Projections raw data'!Q123)</f>
        <v>1272302.3050511486</v>
      </c>
      <c r="S22" s="21">
        <f ca="1">R22*(1+'Projections raw data'!R123)</f>
        <v>1271345.1788981182</v>
      </c>
      <c r="T22" s="21">
        <f ca="1">S22*(1+'Projections raw data'!S123)</f>
        <v>1269076.2379495809</v>
      </c>
      <c r="U22" s="21">
        <f ca="1">T22*(1+'Projections raw data'!T123)</f>
        <v>1266126.012941594</v>
      </c>
      <c r="V22" s="21">
        <f ca="1">U22*(1+'Projections raw data'!U123)</f>
        <v>1262984.5785624888</v>
      </c>
      <c r="W22" s="21">
        <f ca="1">V22*(1+'Projections raw data'!V123)</f>
        <v>1259844.330272078</v>
      </c>
      <c r="X22" s="21">
        <f ca="1">W22*(1+'Projections raw data'!W123)</f>
        <v>1257005.1816608503</v>
      </c>
      <c r="Y22" s="21">
        <f ca="1">X22*(1+'Projections raw data'!X123)</f>
        <v>1254383.2422133342</v>
      </c>
      <c r="Z22" s="21">
        <f ca="1">Y22*(1+'Projections raw data'!Y123)</f>
        <v>1251725.6852670547</v>
      </c>
      <c r="AA22" s="21">
        <f ca="1">Z22*(1+'Projections raw data'!Z123)</f>
        <v>1249858.7411925213</v>
      </c>
      <c r="AB22" s="21">
        <f ca="1">AA22*(1+'Projections raw data'!AA123)</f>
        <v>1247743.4581370454</v>
      </c>
      <c r="AC22" s="21">
        <f ca="1">AB22*(1+'Projections raw data'!AB123)</f>
        <v>1245300.0931755991</v>
      </c>
      <c r="AD22" s="21">
        <f ca="1">AC22*(1+'Projections raw data'!AC123)</f>
        <v>1242523.5096439298</v>
      </c>
      <c r="AE22" s="21">
        <f ca="1">AD22*(1+'Projections raw data'!AD123)</f>
        <v>1239630.5473956049</v>
      </c>
      <c r="AF22" s="21">
        <f ca="1">AE22*(1+'Projections raw data'!AE123)</f>
        <v>1236406.8065571839</v>
      </c>
      <c r="AG22" s="21">
        <f ca="1">AF22*(1+'Projections raw data'!AF123)</f>
        <v>1232954.4177602718</v>
      </c>
      <c r="AH22" s="25">
        <f t="shared" ca="1" si="1"/>
        <v>1.0164290459618399</v>
      </c>
      <c r="AI22" s="25">
        <f ca="1">'Projections raw data'!AG107</f>
        <v>1.0182177704432875</v>
      </c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</row>
    <row r="23" spans="1:209" ht="13.2">
      <c r="A23" s="20" t="s">
        <v>9</v>
      </c>
      <c r="B23" s="2" t="s">
        <v>48</v>
      </c>
      <c r="C23" s="2" t="s">
        <v>44</v>
      </c>
      <c r="D23" s="21">
        <f>'Dayton Kettering MSA Summary'!K5</f>
        <v>1080113676</v>
      </c>
      <c r="E23" s="21">
        <f ca="1">D23*(1+'Projections raw data'!D126)</f>
        <v>1112105141.3716249</v>
      </c>
      <c r="F23" s="21">
        <f ca="1">E23*(1+'Projections raw data'!E126)</f>
        <v>1146944978.0134408</v>
      </c>
      <c r="G23" s="21">
        <f ca="1">F23*(1+'Projections raw data'!F126)</f>
        <v>1153151997.282891</v>
      </c>
      <c r="H23" s="21">
        <f ca="1">G23*(1+'Projections raw data'!G126)</f>
        <v>1168021851.1824667</v>
      </c>
      <c r="I23" s="21">
        <f ca="1">H23*(1+'Projections raw data'!H126)</f>
        <v>1183363764.4893157</v>
      </c>
      <c r="J23" s="21">
        <f ca="1">I23*(1+'Projections raw data'!I126)</f>
        <v>1191326215.1422594</v>
      </c>
      <c r="K23" s="21">
        <f ca="1">J23*(1+'Projections raw data'!J126)</f>
        <v>1198688404.846725</v>
      </c>
      <c r="L23" s="21">
        <f ca="1">K23*(1+'Projections raw data'!K126)</f>
        <v>1210325826.5569217</v>
      </c>
      <c r="M23" s="21">
        <f ca="1">L23*(1+'Projections raw data'!L126)</f>
        <v>1218162409.049125</v>
      </c>
      <c r="N23" s="21">
        <f ca="1">M23*(1+'Projections raw data'!M126)</f>
        <v>1220115584.5612609</v>
      </c>
      <c r="O23" s="21">
        <f ca="1">N23*(1+'Projections raw data'!N126)</f>
        <v>1223009206.5946102</v>
      </c>
      <c r="P23" s="21">
        <f ca="1">O23*(1+'Projections raw data'!O126)</f>
        <v>1224705452.2577908</v>
      </c>
      <c r="Q23" s="21">
        <f ca="1">P23*(1+'Projections raw data'!P126)</f>
        <v>1225739009.5911145</v>
      </c>
      <c r="R23" s="21">
        <f ca="1">Q23*(1+'Projections raw data'!Q126)</f>
        <v>1227706817.405894</v>
      </c>
      <c r="S23" s="21">
        <f ca="1">R23*(1+'Projections raw data'!R126)</f>
        <v>1229690157.784483</v>
      </c>
      <c r="T23" s="21">
        <f ca="1">S23*(1+'Projections raw data'!S126)</f>
        <v>1234410566.822711</v>
      </c>
      <c r="U23" s="21">
        <f ca="1">T23*(1+'Projections raw data'!T126)</f>
        <v>1237985429.6812501</v>
      </c>
      <c r="V23" s="21">
        <f ca="1">U23*(1+'Projections raw data'!U126)</f>
        <v>1240400873.9350898</v>
      </c>
      <c r="W23" s="21">
        <f ca="1">V23*(1+'Projections raw data'!V126)</f>
        <v>1241537196.1792717</v>
      </c>
      <c r="X23" s="21">
        <f ca="1">W23*(1+'Projections raw data'!W126)</f>
        <v>1245434353.7373083</v>
      </c>
      <c r="Y23" s="21">
        <f ca="1">X23*(1+'Projections raw data'!X126)</f>
        <v>1251163609.3472555</v>
      </c>
      <c r="Z23" s="21">
        <f ca="1">Y23*(1+'Projections raw data'!Y126)</f>
        <v>1255796407.6477375</v>
      </c>
      <c r="AA23" s="21">
        <f ca="1">Z23*(1+'Projections raw data'!Z126)</f>
        <v>1258670728.2685285</v>
      </c>
      <c r="AB23" s="21">
        <f ca="1">AA23*(1+'Projections raw data'!AA126)</f>
        <v>1262261101.4159241</v>
      </c>
      <c r="AC23" s="21">
        <f ca="1">AB23*(1+'Projections raw data'!AB126)</f>
        <v>1266405556.2603991</v>
      </c>
      <c r="AD23" s="21">
        <f ca="1">AC23*(1+'Projections raw data'!AC126)</f>
        <v>1267509801.8596165</v>
      </c>
      <c r="AE23" s="21">
        <f ca="1">AD23*(1+'Projections raw data'!AD126)</f>
        <v>1266870526.2744412</v>
      </c>
      <c r="AF23" s="21">
        <f ca="1">AE23*(1+'Projections raw data'!AE126)</f>
        <v>1268933211.6434364</v>
      </c>
      <c r="AG23" s="21">
        <f ca="1">AF23*(1+'Projections raw data'!AF126)</f>
        <v>1275644722.2301059</v>
      </c>
      <c r="AH23" s="25">
        <f t="shared" ca="1" si="1"/>
        <v>1.1810282108029766</v>
      </c>
      <c r="AI23" s="25">
        <f ca="1">'Projections raw data'!AG110</f>
        <v>1.1840929854191042</v>
      </c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</row>
    <row r="24" spans="1:209" ht="13.2">
      <c r="A24" s="20" t="s">
        <v>9</v>
      </c>
      <c r="B24" s="2" t="s">
        <v>48</v>
      </c>
      <c r="C24" s="2" t="s">
        <v>14</v>
      </c>
      <c r="D24" s="21">
        <f>'Dayton Kettering MSA Summary'!K17*MMBTU_per_scf*1000</f>
        <v>5801514.1289999997</v>
      </c>
      <c r="E24" s="21">
        <f ca="1">D24*(1+'Projections raw data'!D127)</f>
        <v>5948126.4321108507</v>
      </c>
      <c r="F24" s="21">
        <f ca="1">E24*(1+'Projections raw data'!E127)</f>
        <v>6182577.4268402662</v>
      </c>
      <c r="G24" s="21">
        <f ca="1">F24*(1+'Projections raw data'!F127)</f>
        <v>6210508.1871079942</v>
      </c>
      <c r="H24" s="21">
        <f ca="1">G24*(1+'Projections raw data'!G127)</f>
        <v>6258885.4516207688</v>
      </c>
      <c r="I24" s="21">
        <f ca="1">H24*(1+'Projections raw data'!H127)</f>
        <v>6341312.4666263051</v>
      </c>
      <c r="J24" s="21">
        <f ca="1">I24*(1+'Projections raw data'!I127)</f>
        <v>6346216.1898993906</v>
      </c>
      <c r="K24" s="21">
        <f ca="1">J24*(1+'Projections raw data'!J127)</f>
        <v>6355022.8383212071</v>
      </c>
      <c r="L24" s="21">
        <f ca="1">K24*(1+'Projections raw data'!K127)</f>
        <v>6388150.3894919036</v>
      </c>
      <c r="M24" s="21">
        <f ca="1">L24*(1+'Projections raw data'!L127)</f>
        <v>6425123.5297353957</v>
      </c>
      <c r="N24" s="21">
        <f ca="1">M24*(1+'Projections raw data'!M127)</f>
        <v>6412901.7058872292</v>
      </c>
      <c r="O24" s="21">
        <f ca="1">N24*(1+'Projections raw data'!N127)</f>
        <v>6423497.3779967288</v>
      </c>
      <c r="P24" s="21">
        <f ca="1">O24*(1+'Projections raw data'!O127)</f>
        <v>6410657.1382670067</v>
      </c>
      <c r="Q24" s="21">
        <f ca="1">P24*(1+'Projections raw data'!P127)</f>
        <v>6401307.1467538169</v>
      </c>
      <c r="R24" s="21">
        <f ca="1">Q24*(1+'Projections raw data'!Q127)</f>
        <v>6413246.3167669745</v>
      </c>
      <c r="S24" s="21">
        <f ca="1">R24*(1+'Projections raw data'!R127)</f>
        <v>6414861.6585954893</v>
      </c>
      <c r="T24" s="21">
        <f ca="1">S24*(1+'Projections raw data'!S127)</f>
        <v>6425632.7375536952</v>
      </c>
      <c r="U24" s="21">
        <f ca="1">T24*(1+'Projections raw data'!T127)</f>
        <v>6445276.6791202063</v>
      </c>
      <c r="V24" s="21">
        <f ca="1">U24*(1+'Projections raw data'!U127)</f>
        <v>6455103.8827662114</v>
      </c>
      <c r="W24" s="21">
        <f ca="1">V24*(1+'Projections raw data'!V127)</f>
        <v>6472715.9135347819</v>
      </c>
      <c r="X24" s="21">
        <f ca="1">W24*(1+'Projections raw data'!W127)</f>
        <v>6506310.3564469973</v>
      </c>
      <c r="Y24" s="21">
        <f ca="1">X24*(1+'Projections raw data'!X127)</f>
        <v>6555303.9443359189</v>
      </c>
      <c r="Z24" s="21">
        <f ca="1">Y24*(1+'Projections raw data'!Y127)</f>
        <v>6613118.3687053947</v>
      </c>
      <c r="AA24" s="21">
        <f ca="1">Z24*(1+'Projections raw data'!Z127)</f>
        <v>6636986.9436297966</v>
      </c>
      <c r="AB24" s="21">
        <f ca="1">AA24*(1+'Projections raw data'!AA127)</f>
        <v>6699787.5089683272</v>
      </c>
      <c r="AC24" s="21">
        <f ca="1">AB24*(1+'Projections raw data'!AB127)</f>
        <v>6738161.7127440386</v>
      </c>
      <c r="AD24" s="21">
        <f ca="1">AC24*(1+'Projections raw data'!AC127)</f>
        <v>6753262.2915914422</v>
      </c>
      <c r="AE24" s="21">
        <f ca="1">AD24*(1+'Projections raw data'!AD127)</f>
        <v>6781369.4210280478</v>
      </c>
      <c r="AF24" s="21">
        <f ca="1">AE24*(1+'Projections raw data'!AE127)</f>
        <v>6811753.9067664333</v>
      </c>
      <c r="AG24" s="21">
        <f ca="1">AF24*(1+'Projections raw data'!AF127)</f>
        <v>6874453.5971833011</v>
      </c>
      <c r="AH24" s="25">
        <f t="shared" ca="1" si="1"/>
        <v>1.1849412833142996</v>
      </c>
      <c r="AI24" s="25">
        <f ca="1">'Projections raw data'!AG111</f>
        <v>1.188469721466402</v>
      </c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</row>
    <row r="25" spans="1:209" ht="13.2">
      <c r="A25" s="20" t="s">
        <v>9</v>
      </c>
      <c r="B25" s="2" t="s">
        <v>50</v>
      </c>
      <c r="C25" s="2" t="s">
        <v>44</v>
      </c>
      <c r="D25" s="21"/>
      <c r="E25" s="21">
        <f ca="1">'Projections raw data'!D117</f>
        <v>953656.3415918682</v>
      </c>
      <c r="F25" s="21">
        <f ca="1">'Projections raw data'!E117</f>
        <v>1255494.4177967529</v>
      </c>
      <c r="G25" s="21">
        <f ca="1">'Projections raw data'!F117</f>
        <v>1590493.8818475436</v>
      </c>
      <c r="H25" s="21">
        <f ca="1">'Projections raw data'!G117</f>
        <v>1949357.4759271068</v>
      </c>
      <c r="I25" s="21">
        <f ca="1">'Projections raw data'!H117</f>
        <v>2331469.2331345407</v>
      </c>
      <c r="J25" s="21">
        <f ca="1">'Projections raw data'!I117</f>
        <v>2722252.3062952347</v>
      </c>
      <c r="K25" s="21">
        <f ca="1">'Projections raw data'!J117</f>
        <v>3112965.1873547048</v>
      </c>
      <c r="L25" s="21">
        <f ca="1">'Projections raw data'!K117</f>
        <v>3509160.7604112611</v>
      </c>
      <c r="M25" s="21">
        <f ca="1">'Projections raw data'!L117</f>
        <v>3913194.7357397629</v>
      </c>
      <c r="N25" s="21">
        <f ca="1">'Projections raw data'!M117</f>
        <v>4295022.3250046503</v>
      </c>
      <c r="O25" s="21">
        <f ca="1">'Projections raw data'!N117</f>
        <v>4668459.5911319507</v>
      </c>
      <c r="P25" s="21">
        <f ca="1">'Projections raw data'!O117</f>
        <v>5041827.4035355039</v>
      </c>
      <c r="Q25" s="21">
        <f ca="1">'Projections raw data'!P117</f>
        <v>5414948.6541150026</v>
      </c>
      <c r="R25" s="21">
        <f ca="1">'Projections raw data'!Q117</f>
        <v>5782489.7836996885</v>
      </c>
      <c r="S25" s="21">
        <f ca="1">'Projections raw data'!R117</f>
        <v>6148503.5533389309</v>
      </c>
      <c r="T25" s="21">
        <f ca="1">'Projections raw data'!S117</f>
        <v>6514724.7794057308</v>
      </c>
      <c r="U25" s="21">
        <f ca="1">'Projections raw data'!T117</f>
        <v>6879836.4090985786</v>
      </c>
      <c r="V25" s="21">
        <f ca="1">'Projections raw data'!U117</f>
        <v>7243289.9949972704</v>
      </c>
      <c r="W25" s="21">
        <f ca="1">'Projections raw data'!V117</f>
        <v>7605675.4964529676</v>
      </c>
      <c r="X25" s="21">
        <f ca="1">'Projections raw data'!W117</f>
        <v>7960976.5282948157</v>
      </c>
      <c r="Y25" s="21">
        <f ca="1">'Projections raw data'!X117</f>
        <v>8311507.72098199</v>
      </c>
      <c r="Z25" s="21">
        <f ca="1">'Projections raw data'!Y117</f>
        <v>8663320.5940205175</v>
      </c>
      <c r="AA25" s="21">
        <f ca="1">'Projections raw data'!Z117</f>
        <v>9019042.8466779906</v>
      </c>
      <c r="AB25" s="21">
        <f ca="1">'Projections raw data'!AA117</f>
        <v>9365006.2860212028</v>
      </c>
      <c r="AC25" s="21">
        <f ca="1">'Projections raw data'!AB117</f>
        <v>9710802.0266555026</v>
      </c>
      <c r="AD25" s="21">
        <f ca="1">'Projections raw data'!AC117</f>
        <v>10050293.384850927</v>
      </c>
      <c r="AE25" s="21">
        <f ca="1">'Projections raw data'!AD117</f>
        <v>10384272.133079724</v>
      </c>
      <c r="AF25" s="21">
        <f ca="1">'Projections raw data'!AE117</f>
        <v>10720389.919523127</v>
      </c>
      <c r="AG25" s="21">
        <f>'Projections raw data'!AF117</f>
        <v>11059755.484797271</v>
      </c>
      <c r="AH25" s="25">
        <f ca="1">AG25/E25</f>
        <v>11.597212751016825</v>
      </c>
      <c r="AI25" s="25">
        <f ca="1">'Projections raw data'!AG117</f>
        <v>11.597212751016825</v>
      </c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</row>
    <row r="26" spans="1:209" ht="13.2">
      <c r="A26" s="20" t="s">
        <v>9</v>
      </c>
      <c r="B26" s="2" t="s">
        <v>50</v>
      </c>
      <c r="C26" s="2" t="s">
        <v>46</v>
      </c>
      <c r="D26" s="21">
        <f t="array" ref="D26">SUMPRODUCT('Dayton Kettering MSA Summary'!B25:D25*1000000,1/'Emissions Factors'!C31:E31)</f>
        <v>5069262.1115426831</v>
      </c>
      <c r="E26" s="21">
        <f ca="1">D26*(1+'Projections raw data'!D130)</f>
        <v>5235215.3881928865</v>
      </c>
      <c r="F26" s="21">
        <f ca="1">E26*(1+'Projections raw data'!E130)</f>
        <v>5350781.426763841</v>
      </c>
      <c r="G26" s="21">
        <f ca="1">F26*(1+'Projections raw data'!F130)</f>
        <v>5351868.0419304408</v>
      </c>
      <c r="H26" s="21">
        <f ca="1">G26*(1+'Projections raw data'!G130)</f>
        <v>5345996.35458396</v>
      </c>
      <c r="I26" s="21">
        <f ca="1">H26*(1+'Projections raw data'!H130)</f>
        <v>5327254.4758709213</v>
      </c>
      <c r="J26" s="21">
        <f ca="1">I26*(1+'Projections raw data'!I130)</f>
        <v>5299216.0539881391</v>
      </c>
      <c r="K26" s="21">
        <f ca="1">J26*(1+'Projections raw data'!J130)</f>
        <v>5267562.2058835654</v>
      </c>
      <c r="L26" s="21">
        <f ca="1">K26*(1+'Projections raw data'!K130)</f>
        <v>5240790.0363015691</v>
      </c>
      <c r="M26" s="21">
        <f ca="1">L26*(1+'Projections raw data'!L130)</f>
        <v>5219975.1264154902</v>
      </c>
      <c r="N26" s="21">
        <f ca="1">M26*(1+'Projections raw data'!M130)</f>
        <v>5169929.2116419235</v>
      </c>
      <c r="O26" s="21">
        <f ca="1">N26*(1+'Projections raw data'!N130)</f>
        <v>5117785.5806861706</v>
      </c>
      <c r="P26" s="21">
        <f ca="1">O26*(1+'Projections raw data'!O130)</f>
        <v>5075436.8292809818</v>
      </c>
      <c r="Q26" s="21">
        <f ca="1">P26*(1+'Projections raw data'!P130)</f>
        <v>5035408.7466748338</v>
      </c>
      <c r="R26" s="21">
        <f ca="1">Q26*(1+'Projections raw data'!Q130)</f>
        <v>4995006.3262084434</v>
      </c>
      <c r="S26" s="21">
        <f ca="1">R26*(1+'Projections raw data'!R130)</f>
        <v>4958560.589969079</v>
      </c>
      <c r="T26" s="21">
        <f ca="1">S26*(1+'Projections raw data'!S130)</f>
        <v>4928502.9827976935</v>
      </c>
      <c r="U26" s="21">
        <f ca="1">T26*(1+'Projections raw data'!T130)</f>
        <v>4901169.575385727</v>
      </c>
      <c r="V26" s="21">
        <f ca="1">U26*(1+'Projections raw data'!U130)</f>
        <v>4878862.2029303536</v>
      </c>
      <c r="W26" s="21">
        <f ca="1">V26*(1+'Projections raw data'!V130)</f>
        <v>4859865.9769567093</v>
      </c>
      <c r="X26" s="21">
        <f ca="1">W26*(1+'Projections raw data'!W130)</f>
        <v>4842996.146648488</v>
      </c>
      <c r="Y26" s="21">
        <f ca="1">X26*(1+'Projections raw data'!X130)</f>
        <v>4828912.6557898624</v>
      </c>
      <c r="Z26" s="21">
        <f ca="1">Y26*(1+'Projections raw data'!Y130)</f>
        <v>4816442.6155501911</v>
      </c>
      <c r="AA26" s="21">
        <f ca="1">Z26*(1+'Projections raw data'!Z130)</f>
        <v>4807077.2039584331</v>
      </c>
      <c r="AB26" s="21">
        <f ca="1">AA26*(1+'Projections raw data'!AA130)</f>
        <v>4801127.587916255</v>
      </c>
      <c r="AC26" s="21">
        <f ca="1">AB26*(1+'Projections raw data'!AB130)</f>
        <v>4799911.2607957106</v>
      </c>
      <c r="AD26" s="21">
        <f ca="1">AC26*(1+'Projections raw data'!AC130)</f>
        <v>4798402.0703661721</v>
      </c>
      <c r="AE26" s="21">
        <f ca="1">AD26*(1+'Projections raw data'!AD130)</f>
        <v>4797311.7927898681</v>
      </c>
      <c r="AF26" s="21">
        <f ca="1">AE26*(1+'Projections raw data'!AE130)</f>
        <v>4800446.0617361199</v>
      </c>
      <c r="AG26" s="21">
        <f ca="1">AF26*(1+'Projections raw data'!AF130)</f>
        <v>4808449.978134593</v>
      </c>
      <c r="AH26" s="25">
        <f t="shared" ref="AH26:AH33" ca="1" si="2">AG26/D26</f>
        <v>0.94855027661437707</v>
      </c>
      <c r="AI26" s="25">
        <f ca="1">'Projections raw data'!AG114</f>
        <v>0.95069592407544923</v>
      </c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</row>
    <row r="27" spans="1:209" ht="13.2">
      <c r="A27" s="20" t="s">
        <v>9</v>
      </c>
      <c r="B27" s="2" t="s">
        <v>50</v>
      </c>
      <c r="C27" s="2" t="s">
        <v>51</v>
      </c>
      <c r="D27" s="21">
        <f>SUM('Dayton Kettering MSA Summary'!E25:G25)*1000000/'Emissions Factors'!$I$31</f>
        <v>1196243.1759854497</v>
      </c>
      <c r="E27" s="21">
        <f ca="1">D27*(1+'Projections raw data'!D131)</f>
        <v>1209674.2325509079</v>
      </c>
      <c r="F27" s="21">
        <f ca="1">E27*(1+'Projections raw data'!E131)</f>
        <v>1227649.4842540738</v>
      </c>
      <c r="G27" s="21">
        <f ca="1">F27*(1+'Projections raw data'!F131)</f>
        <v>1221566.1069260947</v>
      </c>
      <c r="H27" s="21">
        <f ca="1">G27*(1+'Projections raw data'!G131)</f>
        <v>1220754.5868075381</v>
      </c>
      <c r="I27" s="21">
        <f ca="1">H27*(1+'Projections raw data'!H131)</f>
        <v>1216889.0134105159</v>
      </c>
      <c r="J27" s="21">
        <f ca="1">I27*(1+'Projections raw data'!I131)</f>
        <v>1208410.5458048042</v>
      </c>
      <c r="K27" s="21">
        <f ca="1">J27*(1+'Projections raw data'!J131)</f>
        <v>1199604.2917416138</v>
      </c>
      <c r="L27" s="21">
        <f ca="1">K27*(1+'Projections raw data'!K131)</f>
        <v>1189978.6353263322</v>
      </c>
      <c r="M27" s="21">
        <f ca="1">L27*(1+'Projections raw data'!L131)</f>
        <v>1180296.6266585949</v>
      </c>
      <c r="N27" s="21">
        <f ca="1">M27*(1+'Projections raw data'!M131)</f>
        <v>1161044.7042286182</v>
      </c>
      <c r="O27" s="21">
        <f ca="1">N27*(1+'Projections raw data'!N131)</f>
        <v>1144441.41669114</v>
      </c>
      <c r="P27" s="21">
        <f ca="1">O27*(1+'Projections raw data'!O131)</f>
        <v>1129447.9151691077</v>
      </c>
      <c r="Q27" s="21">
        <f ca="1">P27*(1+'Projections raw data'!P131)</f>
        <v>1113852.0854539748</v>
      </c>
      <c r="R27" s="21">
        <f ca="1">Q27*(1+'Projections raw data'!Q131)</f>
        <v>1099934.0631489207</v>
      </c>
      <c r="S27" s="21">
        <f ca="1">R27*(1+'Projections raw data'!R131)</f>
        <v>1086470.2989628688</v>
      </c>
      <c r="T27" s="21">
        <f ca="1">S27*(1+'Projections raw data'!S131)</f>
        <v>1075872.1559678272</v>
      </c>
      <c r="U27" s="21">
        <f ca="1">T27*(1+'Projections raw data'!T131)</f>
        <v>1066395.9398297735</v>
      </c>
      <c r="V27" s="21">
        <f ca="1">U27*(1+'Projections raw data'!U131)</f>
        <v>1056379.6096306005</v>
      </c>
      <c r="W27" s="21">
        <f ca="1">V27*(1+'Projections raw data'!V131)</f>
        <v>1047766.7625185605</v>
      </c>
      <c r="X27" s="21">
        <f ca="1">W27*(1+'Projections raw data'!W131)</f>
        <v>1039696.2711383088</v>
      </c>
      <c r="Y27" s="21">
        <f ca="1">X27*(1+'Projections raw data'!X131)</f>
        <v>1033949.8746222791</v>
      </c>
      <c r="Z27" s="21">
        <f ca="1">Y27*(1+'Projections raw data'!Y131)</f>
        <v>1028566.9855946315</v>
      </c>
      <c r="AA27" s="21">
        <f ca="1">Z27*(1+'Projections raw data'!Z131)</f>
        <v>1022463.6332322228</v>
      </c>
      <c r="AB27" s="21">
        <f ca="1">AA27*(1+'Projections raw data'!AA131)</f>
        <v>1016201.0309733254</v>
      </c>
      <c r="AC27" s="21">
        <f ca="1">AB27*(1+'Projections raw data'!AB131)</f>
        <v>1010992.5241843878</v>
      </c>
      <c r="AD27" s="21">
        <f ca="1">AC27*(1+'Projections raw data'!AC131)</f>
        <v>1004170.2488920684</v>
      </c>
      <c r="AE27" s="21">
        <f ca="1">AD27*(1+'Projections raw data'!AD131)</f>
        <v>995873.79234998126</v>
      </c>
      <c r="AF27" s="21">
        <f ca="1">AE27*(1+'Projections raw data'!AE131)</f>
        <v>989629.89950564306</v>
      </c>
      <c r="AG27" s="21">
        <f ca="1">AF27*(1+'Projections raw data'!AF131)</f>
        <v>985517.08538450918</v>
      </c>
      <c r="AH27" s="25">
        <f t="shared" ca="1" si="2"/>
        <v>0.8238434334830399</v>
      </c>
      <c r="AI27" s="25">
        <f ca="1">'Projections raw data'!AG115</f>
        <v>0.8258782936654353</v>
      </c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</row>
    <row r="28" spans="1:209" ht="13.2">
      <c r="A28" s="20" t="s">
        <v>10</v>
      </c>
      <c r="B28" s="2" t="s">
        <v>43</v>
      </c>
      <c r="C28" s="2" t="s">
        <v>44</v>
      </c>
      <c r="D28" s="21">
        <f>'Dayton Kettering MSA Summary'!G6</f>
        <v>2609692474</v>
      </c>
      <c r="E28" s="21">
        <f ca="1">D28*(1+'Projections raw data'!D153)</f>
        <v>2498395813.5190587</v>
      </c>
      <c r="F28" s="21">
        <f ca="1">E28*(1+'Projections raw data'!E153)</f>
        <v>2592786402.828196</v>
      </c>
      <c r="G28" s="21">
        <f ca="1">F28*(1+'Projections raw data'!F153)</f>
        <v>2606812764.7066779</v>
      </c>
      <c r="H28" s="21">
        <f ca="1">G28*(1+'Projections raw data'!G153)</f>
        <v>2616353798.0748353</v>
      </c>
      <c r="I28" s="21">
        <f ca="1">H28*(1+'Projections raw data'!H153)</f>
        <v>2619890107.4705172</v>
      </c>
      <c r="J28" s="21">
        <f ca="1">I28*(1+'Projections raw data'!I153)</f>
        <v>2620792068.6564226</v>
      </c>
      <c r="K28" s="21">
        <f ca="1">J28*(1+'Projections raw data'!J153)</f>
        <v>2621767699.8754396</v>
      </c>
      <c r="L28" s="21">
        <f ca="1">K28*(1+'Projections raw data'!K153)</f>
        <v>2623756202.2095623</v>
      </c>
      <c r="M28" s="21">
        <f ca="1">L28*(1+'Projections raw data'!L153)</f>
        <v>2620480979.090694</v>
      </c>
      <c r="N28" s="21">
        <f ca="1">M28*(1+'Projections raw data'!M153)</f>
        <v>2601125969.661582</v>
      </c>
      <c r="O28" s="21">
        <f ca="1">N28*(1+'Projections raw data'!N153)</f>
        <v>2584375348.9911513</v>
      </c>
      <c r="P28" s="21">
        <f ca="1">O28*(1+'Projections raw data'!O153)</f>
        <v>2570814310.2576785</v>
      </c>
      <c r="Q28" s="21">
        <f ca="1">P28*(1+'Projections raw data'!P153)</f>
        <v>2559989655.2449527</v>
      </c>
      <c r="R28" s="21">
        <f ca="1">Q28*(1+'Projections raw data'!Q153)</f>
        <v>2551173072.5496984</v>
      </c>
      <c r="S28" s="21">
        <f ca="1">R28*(1+'Projections raw data'!R153)</f>
        <v>2542903004.0457902</v>
      </c>
      <c r="T28" s="21">
        <f ca="1">S28*(1+'Projections raw data'!S153)</f>
        <v>2536517025.043571</v>
      </c>
      <c r="U28" s="21">
        <f ca="1">T28*(1+'Projections raw data'!T153)</f>
        <v>2530032334.4359603</v>
      </c>
      <c r="V28" s="21">
        <f ca="1">U28*(1+'Projections raw data'!U153)</f>
        <v>2523191090.8089833</v>
      </c>
      <c r="W28" s="21">
        <f ca="1">V28*(1+'Projections raw data'!V153)</f>
        <v>2514330480.4525046</v>
      </c>
      <c r="X28" s="21">
        <f ca="1">W28*(1+'Projections raw data'!W153)</f>
        <v>2504596801.8966851</v>
      </c>
      <c r="Y28" s="21">
        <f ca="1">X28*(1+'Projections raw data'!X153)</f>
        <v>2496935139.1430998</v>
      </c>
      <c r="Z28" s="21">
        <f ca="1">Y28*(1+'Projections raw data'!Y153)</f>
        <v>2490719838.7429681</v>
      </c>
      <c r="AA28" s="21">
        <f ca="1">Z28*(1+'Projections raw data'!Z153)</f>
        <v>2486236963.5683346</v>
      </c>
      <c r="AB28" s="21">
        <f ca="1">AA28*(1+'Projections raw data'!AA153)</f>
        <v>2482515957.9661703</v>
      </c>
      <c r="AC28" s="21">
        <f ca="1">AB28*(1+'Projections raw data'!AB153)</f>
        <v>2479503748.5358934</v>
      </c>
      <c r="AD28" s="21">
        <f ca="1">AC28*(1+'Projections raw data'!AC153)</f>
        <v>2476571333.2921681</v>
      </c>
      <c r="AE28" s="21">
        <f ca="1">AD28*(1+'Projections raw data'!AD153)</f>
        <v>2475186245.4805889</v>
      </c>
      <c r="AF28" s="21">
        <f ca="1">AE28*(1+'Projections raw data'!AE153)</f>
        <v>2475369030.1452427</v>
      </c>
      <c r="AG28" s="21">
        <f ca="1">AF28*(1+'Projections raw data'!AF153)</f>
        <v>2477007527.3958416</v>
      </c>
      <c r="AH28" s="25">
        <f t="shared" ca="1" si="2"/>
        <v>0.9491568650612745</v>
      </c>
      <c r="AI28" s="25">
        <f ca="1">'Projections raw data'!AG137</f>
        <v>0.95251475354759496</v>
      </c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</row>
    <row r="29" spans="1:209" ht="13.2">
      <c r="A29" s="20" t="s">
        <v>10</v>
      </c>
      <c r="B29" s="2" t="s">
        <v>43</v>
      </c>
      <c r="C29" s="2" t="s">
        <v>14</v>
      </c>
      <c r="D29" s="21">
        <f>'Dayton Kettering MSA Summary'!G18*MMBTU_per_scf*1000</f>
        <v>12685354.491</v>
      </c>
      <c r="E29" s="21">
        <f ca="1">D29*(1+'Projections raw data'!D154)</f>
        <v>12191691.023874894</v>
      </c>
      <c r="F29" s="21">
        <f ca="1">E29*(1+'Projections raw data'!E154)</f>
        <v>13267221.931330269</v>
      </c>
      <c r="G29" s="21">
        <f ca="1">F29*(1+'Projections raw data'!F154)</f>
        <v>13299088.706495984</v>
      </c>
      <c r="H29" s="21">
        <f ca="1">G29*(1+'Projections raw data'!G154)</f>
        <v>13299582.096470889</v>
      </c>
      <c r="I29" s="21">
        <f ca="1">H29*(1+'Projections raw data'!H154)</f>
        <v>13231739.271307059</v>
      </c>
      <c r="J29" s="21">
        <f ca="1">I29*(1+'Projections raw data'!I154)</f>
        <v>13134385.344549673</v>
      </c>
      <c r="K29" s="21">
        <f ca="1">J29*(1+'Projections raw data'!J154)</f>
        <v>13018995.85886508</v>
      </c>
      <c r="L29" s="21">
        <f ca="1">K29*(1+'Projections raw data'!K154)</f>
        <v>12888568.615033921</v>
      </c>
      <c r="M29" s="21">
        <f ca="1">L29*(1+'Projections raw data'!L154)</f>
        <v>12770819.80354563</v>
      </c>
      <c r="N29" s="21">
        <f ca="1">M29*(1+'Projections raw data'!M154)</f>
        <v>12579650.720056707</v>
      </c>
      <c r="O29" s="21">
        <f ca="1">N29*(1+'Projections raw data'!N154)</f>
        <v>12402623.418966098</v>
      </c>
      <c r="P29" s="21">
        <f ca="1">O29*(1+'Projections raw data'!O154)</f>
        <v>12226077.719624409</v>
      </c>
      <c r="Q29" s="21">
        <f ca="1">P29*(1+'Projections raw data'!P154)</f>
        <v>12060642.127900528</v>
      </c>
      <c r="R29" s="21">
        <f ca="1">Q29*(1+'Projections raw data'!Q154)</f>
        <v>11908831.542269643</v>
      </c>
      <c r="S29" s="21">
        <f ca="1">R29*(1+'Projections raw data'!R154)</f>
        <v>11761695.777035054</v>
      </c>
      <c r="T29" s="21">
        <f ca="1">S29*(1+'Projections raw data'!S154)</f>
        <v>11613321.81718269</v>
      </c>
      <c r="U29" s="21">
        <f ca="1">T29*(1+'Projections raw data'!T154)</f>
        <v>11466554.970753625</v>
      </c>
      <c r="V29" s="21">
        <f ca="1">U29*(1+'Projections raw data'!U154)</f>
        <v>11323593.541636279</v>
      </c>
      <c r="W29" s="21">
        <f ca="1">V29*(1+'Projections raw data'!V154)</f>
        <v>11185757.594667623</v>
      </c>
      <c r="X29" s="21">
        <f ca="1">W29*(1+'Projections raw data'!W154)</f>
        <v>11051090.511878978</v>
      </c>
      <c r="Y29" s="21">
        <f ca="1">X29*(1+'Projections raw data'!X154)</f>
        <v>10918989.567870075</v>
      </c>
      <c r="Z29" s="21">
        <f ca="1">Y29*(1+'Projections raw data'!Y154)</f>
        <v>10788623.392097747</v>
      </c>
      <c r="AA29" s="21">
        <f ca="1">Z29*(1+'Projections raw data'!Z154)</f>
        <v>10665366.918151241</v>
      </c>
      <c r="AB29" s="21">
        <f ca="1">AA29*(1+'Projections raw data'!AA154)</f>
        <v>10541107.125042196</v>
      </c>
      <c r="AC29" s="21">
        <f ca="1">AB29*(1+'Projections raw data'!AB154)</f>
        <v>10416847.647965832</v>
      </c>
      <c r="AD29" s="21">
        <f ca="1">AC29*(1+'Projections raw data'!AC154)</f>
        <v>10292402.271784149</v>
      </c>
      <c r="AE29" s="21">
        <f ca="1">AD29*(1+'Projections raw data'!AD154)</f>
        <v>10168542.469797704</v>
      </c>
      <c r="AF29" s="21">
        <f ca="1">AE29*(1+'Projections raw data'!AE154)</f>
        <v>10044363.296047328</v>
      </c>
      <c r="AG29" s="21">
        <f ca="1">AF29*(1+'Projections raw data'!AF154)</f>
        <v>9920471.6249039769</v>
      </c>
      <c r="AH29" s="25">
        <f t="shared" ca="1" si="2"/>
        <v>0.78204134003053272</v>
      </c>
      <c r="AI29" s="25">
        <f ca="1">'Projections raw data'!AG138</f>
        <v>0.79214870944514448</v>
      </c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</row>
    <row r="30" spans="1:209" ht="13.2">
      <c r="A30" s="20" t="s">
        <v>10</v>
      </c>
      <c r="B30" s="2" t="s">
        <v>45</v>
      </c>
      <c r="C30" s="2" t="s">
        <v>44</v>
      </c>
      <c r="D30" s="21">
        <f>'Dayton Kettering MSA Summary'!C6</f>
        <v>2563955866</v>
      </c>
      <c r="E30" s="21">
        <f ca="1">D30*(1+'Projections raw data'!D155)</f>
        <v>2572377939.6122427</v>
      </c>
      <c r="F30" s="21">
        <f ca="1">E30*(1+'Projections raw data'!E155)</f>
        <v>2581799844.9011769</v>
      </c>
      <c r="G30" s="21">
        <f ca="1">F30*(1+'Projections raw data'!F155)</f>
        <v>2576542227.8229389</v>
      </c>
      <c r="H30" s="21">
        <f ca="1">G30*(1+'Projections raw data'!G155)</f>
        <v>2572029176.5013685</v>
      </c>
      <c r="I30" s="21">
        <f ca="1">H30*(1+'Projections raw data'!H155)</f>
        <v>2559004810.416028</v>
      </c>
      <c r="J30" s="21">
        <f ca="1">I30*(1+'Projections raw data'!I155)</f>
        <v>2554074707.1673646</v>
      </c>
      <c r="K30" s="21">
        <f ca="1">J30*(1+'Projections raw data'!J155)</f>
        <v>2547918420.085856</v>
      </c>
      <c r="L30" s="21">
        <f ca="1">K30*(1+'Projections raw data'!K155)</f>
        <v>2542607634.2420416</v>
      </c>
      <c r="M30" s="21">
        <f ca="1">L30*(1+'Projections raw data'!L155)</f>
        <v>2529744338.2413006</v>
      </c>
      <c r="N30" s="21">
        <f ca="1">M30*(1+'Projections raw data'!M155)</f>
        <v>2506020224.0827179</v>
      </c>
      <c r="O30" s="21">
        <f ca="1">N30*(1+'Projections raw data'!N155)</f>
        <v>2485582445.4950771</v>
      </c>
      <c r="P30" s="21">
        <f ca="1">O30*(1+'Projections raw data'!O155)</f>
        <v>2469185941.2585893</v>
      </c>
      <c r="Q30" s="21">
        <f ca="1">P30*(1+'Projections raw data'!P155)</f>
        <v>2455981882.1090069</v>
      </c>
      <c r="R30" s="21">
        <f ca="1">Q30*(1+'Projections raw data'!Q155)</f>
        <v>2444432630.9110665</v>
      </c>
      <c r="S30" s="21">
        <f ca="1">R30*(1+'Projections raw data'!R155)</f>
        <v>2433136311.9721084</v>
      </c>
      <c r="T30" s="21">
        <f ca="1">S30*(1+'Projections raw data'!S155)</f>
        <v>2422723996.9953389</v>
      </c>
      <c r="U30" s="21">
        <f ca="1">T30*(1+'Projections raw data'!T155)</f>
        <v>2413094491.2034326</v>
      </c>
      <c r="V30" s="21">
        <f ca="1">U30*(1+'Projections raw data'!U155)</f>
        <v>2402109061.8230562</v>
      </c>
      <c r="W30" s="21">
        <f ca="1">V30*(1+'Projections raw data'!V155)</f>
        <v>2389283017.3499289</v>
      </c>
      <c r="X30" s="21">
        <f ca="1">W30*(1+'Projections raw data'!W155)</f>
        <v>2379498781.6004982</v>
      </c>
      <c r="Y30" s="21">
        <f ca="1">X30*(1+'Projections raw data'!X155)</f>
        <v>2372291139.4058685</v>
      </c>
      <c r="Z30" s="21">
        <f ca="1">Y30*(1+'Projections raw data'!Y155)</f>
        <v>2366569171.3306365</v>
      </c>
      <c r="AA30" s="21">
        <f ca="1">Z30*(1+'Projections raw data'!Z155)</f>
        <v>2361063542.7957764</v>
      </c>
      <c r="AB30" s="21">
        <f ca="1">AA30*(1+'Projections raw data'!AA155)</f>
        <v>2356818074.307467</v>
      </c>
      <c r="AC30" s="21">
        <f ca="1">AB30*(1+'Projections raw data'!AB155)</f>
        <v>2350338972.3983603</v>
      </c>
      <c r="AD30" s="21">
        <f ca="1">AC30*(1+'Projections raw data'!AC155)</f>
        <v>2345878538.953403</v>
      </c>
      <c r="AE30" s="21">
        <f ca="1">AD30*(1+'Projections raw data'!AD155)</f>
        <v>2341610216.2101073</v>
      </c>
      <c r="AF30" s="21">
        <f ca="1">AE30*(1+'Projections raw data'!AE155)</f>
        <v>2339875283.7459025</v>
      </c>
      <c r="AG30" s="21">
        <f ca="1">AF30*(1+'Projections raw data'!AF155)</f>
        <v>2338854765.4802322</v>
      </c>
      <c r="AH30" s="25">
        <f t="shared" ca="1" si="2"/>
        <v>0.91220554787826924</v>
      </c>
      <c r="AI30" s="25">
        <f ca="1">'Projections raw data'!AG139</f>
        <v>0.91266681825377005</v>
      </c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</row>
    <row r="31" spans="1:209" ht="13.2">
      <c r="A31" s="20" t="s">
        <v>10</v>
      </c>
      <c r="B31" s="2" t="s">
        <v>45</v>
      </c>
      <c r="C31" s="2" t="s">
        <v>14</v>
      </c>
      <c r="D31" s="21">
        <f>'Dayton Kettering MSA Summary'!C18*MMBTU_per_scf*1000</f>
        <v>9705752.7609999999</v>
      </c>
      <c r="E31" s="21">
        <f ca="1">D31*(1+'Projections raw data'!D156)</f>
        <v>10002379.926116517</v>
      </c>
      <c r="F31" s="21">
        <f ca="1">E31*(1+'Projections raw data'!E156)</f>
        <v>9833870.8556605373</v>
      </c>
      <c r="G31" s="21">
        <f ca="1">F31*(1+'Projections raw data'!F156)</f>
        <v>9840351.0274165645</v>
      </c>
      <c r="H31" s="21">
        <f ca="1">G31*(1+'Projections raw data'!G156)</f>
        <v>9868891.8388249557</v>
      </c>
      <c r="I31" s="21">
        <f ca="1">H31*(1+'Projections raw data'!H156)</f>
        <v>9856983.5918819774</v>
      </c>
      <c r="J31" s="21">
        <f ca="1">I31*(1+'Projections raw data'!I156)</f>
        <v>9879750.03277025</v>
      </c>
      <c r="K31" s="21">
        <f ca="1">J31*(1+'Projections raw data'!J156)</f>
        <v>9860455.4099974949</v>
      </c>
      <c r="L31" s="21">
        <f ca="1">K31*(1+'Projections raw data'!K156)</f>
        <v>9806754.3725690413</v>
      </c>
      <c r="M31" s="21">
        <f ca="1">L31*(1+'Projections raw data'!L156)</f>
        <v>9759924.0421151072</v>
      </c>
      <c r="N31" s="21">
        <f ca="1">M31*(1+'Projections raw data'!M156)</f>
        <v>9668267.5005153213</v>
      </c>
      <c r="O31" s="21">
        <f ca="1">N31*(1+'Projections raw data'!N156)</f>
        <v>9590731.4173764624</v>
      </c>
      <c r="P31" s="21">
        <f ca="1">O31*(1+'Projections raw data'!O156)</f>
        <v>9506968.7027858924</v>
      </c>
      <c r="Q31" s="21">
        <f ca="1">P31*(1+'Projections raw data'!P156)</f>
        <v>9433079.7903480139</v>
      </c>
      <c r="R31" s="21">
        <f ca="1">Q31*(1+'Projections raw data'!Q156)</f>
        <v>9371329.8355034776</v>
      </c>
      <c r="S31" s="21">
        <f ca="1">R31*(1+'Projections raw data'!R156)</f>
        <v>9308587.7437396459</v>
      </c>
      <c r="T31" s="21">
        <f ca="1">S31*(1+'Projections raw data'!S156)</f>
        <v>9236588.7822608519</v>
      </c>
      <c r="U31" s="21">
        <f ca="1">T31*(1+'Projections raw data'!T156)</f>
        <v>9160118.4971706234</v>
      </c>
      <c r="V31" s="21">
        <f ca="1">U31*(1+'Projections raw data'!U156)</f>
        <v>9082828.3572738562</v>
      </c>
      <c r="W31" s="21">
        <f ca="1">V31*(1+'Projections raw data'!V156)</f>
        <v>9006130.2299333997</v>
      </c>
      <c r="X31" s="21">
        <f ca="1">W31*(1+'Projections raw data'!W156)</f>
        <v>8932175.6799470466</v>
      </c>
      <c r="Y31" s="21">
        <f ca="1">X31*(1+'Projections raw data'!X156)</f>
        <v>8860321.318673417</v>
      </c>
      <c r="Z31" s="21">
        <f ca="1">Y31*(1+'Projections raw data'!Y156)</f>
        <v>8788738.2163937204</v>
      </c>
      <c r="AA31" s="21">
        <f ca="1">Z31*(1+'Projections raw data'!Z156)</f>
        <v>8723262.1860654131</v>
      </c>
      <c r="AB31" s="21">
        <f ca="1">AA31*(1+'Projections raw data'!AA156)</f>
        <v>8656494.3908600938</v>
      </c>
      <c r="AC31" s="21">
        <f ca="1">AB31*(1+'Projections raw data'!AB156)</f>
        <v>8587905.7247392982</v>
      </c>
      <c r="AD31" s="21">
        <f ca="1">AC31*(1+'Projections raw data'!AC156)</f>
        <v>8517497.6564925965</v>
      </c>
      <c r="AE31" s="21">
        <f ca="1">AD31*(1+'Projections raw data'!AD156)</f>
        <v>8446802.8263730295</v>
      </c>
      <c r="AF31" s="21">
        <f ca="1">AE31*(1+'Projections raw data'!AE156)</f>
        <v>8374361.7086224882</v>
      </c>
      <c r="AG31" s="21">
        <f ca="1">AF31*(1+'Projections raw data'!AF156)</f>
        <v>8300906.5676011369</v>
      </c>
      <c r="AH31" s="25">
        <f t="shared" ca="1" si="2"/>
        <v>0.85525633838069048</v>
      </c>
      <c r="AI31" s="25">
        <f ca="1">'Projections raw data'!AG140</f>
        <v>0.85748195377471181</v>
      </c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</row>
    <row r="32" spans="1:209" ht="13.2">
      <c r="A32" s="20" t="s">
        <v>10</v>
      </c>
      <c r="B32" s="2" t="s">
        <v>48</v>
      </c>
      <c r="C32" s="2" t="s">
        <v>44</v>
      </c>
      <c r="D32" s="21">
        <f>'Dayton Kettering MSA Summary'!K6</f>
        <v>1578112546</v>
      </c>
      <c r="E32" s="21">
        <f ca="1">D32*(1+'Projections raw data'!D159)</f>
        <v>1615765713.7537293</v>
      </c>
      <c r="F32" s="21">
        <f ca="1">E32*(1+'Projections raw data'!E159)</f>
        <v>1657096013.4359932</v>
      </c>
      <c r="G32" s="21">
        <f ca="1">F32*(1+'Projections raw data'!F159)</f>
        <v>1656283816.1980772</v>
      </c>
      <c r="H32" s="21">
        <f ca="1">G32*(1+'Projections raw data'!G159)</f>
        <v>1667940181.0602021</v>
      </c>
      <c r="I32" s="21">
        <f ca="1">H32*(1+'Projections raw data'!H159)</f>
        <v>1680081420.670608</v>
      </c>
      <c r="J32" s="21">
        <f ca="1">I32*(1+'Projections raw data'!I159)</f>
        <v>1681484081.5803003</v>
      </c>
      <c r="K32" s="21">
        <f ca="1">J32*(1+'Projections raw data'!J159)</f>
        <v>1681959418.0469344</v>
      </c>
      <c r="L32" s="21">
        <f ca="1">K32*(1+'Projections raw data'!K159)</f>
        <v>1688404787.7822411</v>
      </c>
      <c r="M32" s="21">
        <f ca="1">L32*(1+'Projections raw data'!L159)</f>
        <v>1689382159.4717677</v>
      </c>
      <c r="N32" s="21">
        <f ca="1">M32*(1+'Projections raw data'!M159)</f>
        <v>1682080919.6386712</v>
      </c>
      <c r="O32" s="21">
        <f ca="1">N32*(1+'Projections raw data'!N159)</f>
        <v>1676110240.4399085</v>
      </c>
      <c r="P32" s="21">
        <f ca="1">O32*(1+'Projections raw data'!O159)</f>
        <v>1668499532.931525</v>
      </c>
      <c r="Q32" s="21">
        <f ca="1">P32*(1+'Projections raw data'!P159)</f>
        <v>1660010764.5284488</v>
      </c>
      <c r="R32" s="21">
        <f ca="1">Q32*(1+'Projections raw data'!Q159)</f>
        <v>1652835380.5079153</v>
      </c>
      <c r="S32" s="21">
        <f ca="1">R32*(1+'Projections raw data'!R159)</f>
        <v>1645706226.191159</v>
      </c>
      <c r="T32" s="21">
        <f ca="1">S32*(1+'Projections raw data'!S159)</f>
        <v>1642286602.1223745</v>
      </c>
      <c r="U32" s="21">
        <f ca="1">T32*(1+'Projections raw data'!T159)</f>
        <v>1637314847.5744457</v>
      </c>
      <c r="V32" s="21">
        <f ca="1">U32*(1+'Projections raw data'!U159)</f>
        <v>1630799814.7216358</v>
      </c>
      <c r="W32" s="21">
        <f ca="1">V32*(1+'Projections raw data'!V159)</f>
        <v>1622610566.1909907</v>
      </c>
      <c r="X32" s="21">
        <f ca="1">W32*(1+'Projections raw data'!W159)</f>
        <v>1618088393.1414058</v>
      </c>
      <c r="Y32" s="21">
        <f ca="1">X32*(1+'Projections raw data'!X159)</f>
        <v>1615954756.4390054</v>
      </c>
      <c r="Z32" s="21">
        <f ca="1">Y32*(1+'Projections raw data'!Y159)</f>
        <v>1612362439.0977061</v>
      </c>
      <c r="AA32" s="21">
        <f ca="1">Z32*(1+'Projections raw data'!Z159)</f>
        <v>1606481892.8924241</v>
      </c>
      <c r="AB32" s="21">
        <f ca="1">AA32*(1+'Projections raw data'!AA159)</f>
        <v>1601530691.3429501</v>
      </c>
      <c r="AC32" s="21">
        <f ca="1">AB32*(1+'Projections raw data'!AB159)</f>
        <v>1597285696.2688634</v>
      </c>
      <c r="AD32" s="21">
        <f ca="1">AC32*(1+'Projections raw data'!AC159)</f>
        <v>1589173977.0930099</v>
      </c>
      <c r="AE32" s="21">
        <f ca="1">AD32*(1+'Projections raw data'!AD159)</f>
        <v>1578899735.1613746</v>
      </c>
      <c r="AF32" s="21">
        <f ca="1">AE32*(1+'Projections raw data'!AE159)</f>
        <v>1572075391.0936017</v>
      </c>
      <c r="AG32" s="21">
        <f ca="1">AF32*(1+'Projections raw data'!AF159)</f>
        <v>1571066317.1184278</v>
      </c>
      <c r="AH32" s="25">
        <f t="shared" ca="1" si="2"/>
        <v>0.99553502765095425</v>
      </c>
      <c r="AI32" s="25">
        <f ca="1">'Projections raw data'!AG143</f>
        <v>0.99717211392418637</v>
      </c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</row>
    <row r="33" spans="1:209" ht="13.2">
      <c r="A33" s="20" t="s">
        <v>10</v>
      </c>
      <c r="B33" s="2" t="s">
        <v>48</v>
      </c>
      <c r="C33" s="2" t="s">
        <v>14</v>
      </c>
      <c r="D33" s="21">
        <f>'Dayton Kettering MSA Summary'!K18*MMBTU_per_scf*1000</f>
        <v>5293680.7110000001</v>
      </c>
      <c r="E33" s="21">
        <f ca="1">D33*(1+'Projections raw data'!D160)</f>
        <v>5396836.5385175552</v>
      </c>
      <c r="F33" s="21">
        <f ca="1">E33*(1+'Projections raw data'!E160)</f>
        <v>5578793.5831447216</v>
      </c>
      <c r="G33" s="21">
        <f ca="1">F33*(1+'Projections raw data'!F160)</f>
        <v>5571041.4757640343</v>
      </c>
      <c r="H33" s="21">
        <f ca="1">G33*(1+'Projections raw data'!G160)</f>
        <v>5581637.5131938448</v>
      </c>
      <c r="I33" s="21">
        <f ca="1">H33*(1+'Projections raw data'!H160)</f>
        <v>5622461.7929657903</v>
      </c>
      <c r="J33" s="21">
        <f ca="1">I33*(1+'Projections raw data'!I160)</f>
        <v>5593473.3848244604</v>
      </c>
      <c r="K33" s="21">
        <f ca="1">J33*(1+'Projections raw data'!J160)</f>
        <v>5568090.9125883849</v>
      </c>
      <c r="L33" s="21">
        <f ca="1">K33*(1+'Projections raw data'!K160)</f>
        <v>5564247.4492354523</v>
      </c>
      <c r="M33" s="21">
        <f ca="1">L33*(1+'Projections raw data'!L160)</f>
        <v>5563623.1086497204</v>
      </c>
      <c r="N33" s="21">
        <f ca="1">M33*(1+'Projections raw data'!M160)</f>
        <v>5519958.5911059519</v>
      </c>
      <c r="O33" s="21">
        <f ca="1">N33*(1+'Projections raw data'!N160)</f>
        <v>5496370.6917759683</v>
      </c>
      <c r="P33" s="21">
        <f ca="1">O33*(1+'Projections raw data'!O160)</f>
        <v>5452692.7531774119</v>
      </c>
      <c r="Q33" s="21">
        <f ca="1">P33*(1+'Projections raw data'!P160)</f>
        <v>5412322.2955951551</v>
      </c>
      <c r="R33" s="21">
        <f ca="1">Q33*(1+'Projections raw data'!Q160)</f>
        <v>5390341.5487180213</v>
      </c>
      <c r="S33" s="21">
        <f ca="1">R33*(1+'Projections raw data'!R160)</f>
        <v>5359697.4944359632</v>
      </c>
      <c r="T33" s="21">
        <f ca="1">S33*(1+'Projections raw data'!S160)</f>
        <v>5336916.9071193887</v>
      </c>
      <c r="U33" s="21">
        <f ca="1">T33*(1+'Projections raw data'!T160)</f>
        <v>5321625.2212871304</v>
      </c>
      <c r="V33" s="21">
        <f ca="1">U33*(1+'Projections raw data'!U160)</f>
        <v>5298167.368174375</v>
      </c>
      <c r="W33" s="21">
        <f ca="1">V33*(1+'Projections raw data'!V160)</f>
        <v>5281220.9234536299</v>
      </c>
      <c r="X33" s="21">
        <f ca="1">W33*(1+'Projections raw data'!W160)</f>
        <v>5277399.4523933074</v>
      </c>
      <c r="Y33" s="21">
        <f ca="1">X33*(1+'Projections raw data'!X160)</f>
        <v>5285995.0914436691</v>
      </c>
      <c r="Z33" s="21">
        <f ca="1">Y33*(1+'Projections raw data'!Y160)</f>
        <v>5301451.8625984676</v>
      </c>
      <c r="AA33" s="21">
        <f ca="1">Z33*(1+'Projections raw data'!Z160)</f>
        <v>5289158.4773739027</v>
      </c>
      <c r="AB33" s="21">
        <f ca="1">AA33*(1+'Projections raw data'!AA160)</f>
        <v>5308025.0157665052</v>
      </c>
      <c r="AC33" s="21">
        <f ca="1">AB33*(1+'Projections raw data'!AB160)</f>
        <v>5307007.3771999357</v>
      </c>
      <c r="AD33" s="21">
        <f ca="1">AC33*(1+'Projections raw data'!AC160)</f>
        <v>5287365.1592663582</v>
      </c>
      <c r="AE33" s="21">
        <f ca="1">AD33*(1+'Projections raw data'!AD160)</f>
        <v>5278001.332330429</v>
      </c>
      <c r="AF33" s="21">
        <f ca="1">AE33*(1+'Projections raw data'!AE160)</f>
        <v>5270333.42277232</v>
      </c>
      <c r="AG33" s="21">
        <f ca="1">AF33*(1+'Projections raw data'!AF160)</f>
        <v>5287709.7552071465</v>
      </c>
      <c r="AH33" s="25">
        <f t="shared" ca="1" si="2"/>
        <v>0.998872059703101</v>
      </c>
      <c r="AI33" s="25">
        <f ca="1">'Projections raw data'!AG144</f>
        <v>1.0008579385934604</v>
      </c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</row>
    <row r="34" spans="1:209" ht="13.2">
      <c r="A34" s="20" t="s">
        <v>10</v>
      </c>
      <c r="B34" s="2" t="s">
        <v>50</v>
      </c>
      <c r="C34" s="2" t="s">
        <v>44</v>
      </c>
      <c r="D34" s="21"/>
      <c r="E34" s="21">
        <f ca="1">'Projections raw data'!D150</f>
        <v>4710636.9287564019</v>
      </c>
      <c r="F34" s="21">
        <f ca="1">'Projections raw data'!E150</f>
        <v>6164997.1485906234</v>
      </c>
      <c r="G34" s="21">
        <f ca="1">'Projections raw data'!F150</f>
        <v>7763911.8531540083</v>
      </c>
      <c r="H34" s="21">
        <f ca="1">'Projections raw data'!G150</f>
        <v>9459554.2428049948</v>
      </c>
      <c r="I34" s="21">
        <f ca="1">'Projections raw data'!H150</f>
        <v>11247072.895967033</v>
      </c>
      <c r="J34" s="21">
        <f ca="1">'Projections raw data'!I150</f>
        <v>13054758.269581277</v>
      </c>
      <c r="K34" s="21">
        <f ca="1">'Projections raw data'!J150</f>
        <v>14840390.186050765</v>
      </c>
      <c r="L34" s="21">
        <f ca="1">'Projections raw data'!K150</f>
        <v>16630481.647728289</v>
      </c>
      <c r="M34" s="21">
        <f ca="1">'Projections raw data'!L150</f>
        <v>18435859.828456238</v>
      </c>
      <c r="N34" s="21">
        <f ca="1">'Projections raw data'!M150</f>
        <v>20115348.354049262</v>
      </c>
      <c r="O34" s="21">
        <f ca="1">'Projections raw data'!N150</f>
        <v>21735303.49578749</v>
      </c>
      <c r="P34" s="21">
        <f ca="1">'Projections raw data'!O150</f>
        <v>23335106.271527838</v>
      </c>
      <c r="Q34" s="21">
        <f ca="1">'Projections raw data'!P150</f>
        <v>24914119.433663048</v>
      </c>
      <c r="R34" s="21">
        <f ca="1">'Projections raw data'!Q150</f>
        <v>26448138.183791704</v>
      </c>
      <c r="S34" s="21">
        <f ca="1">'Projections raw data'!R150</f>
        <v>27956209.596302517</v>
      </c>
      <c r="T34" s="21">
        <f ca="1">'Projections raw data'!S150</f>
        <v>29446461.363398738</v>
      </c>
      <c r="U34" s="21">
        <f ca="1">'Projections raw data'!T150</f>
        <v>30913119.73579954</v>
      </c>
      <c r="V34" s="21">
        <f ca="1">'Projections raw data'!U150</f>
        <v>32353982.312564701</v>
      </c>
      <c r="W34" s="21">
        <f ca="1">'Projections raw data'!V150</f>
        <v>33771956.714180693</v>
      </c>
      <c r="X34" s="21">
        <f ca="1">'Projections raw data'!W150</f>
        <v>35140724.162527867</v>
      </c>
      <c r="Y34" s="21">
        <f ca="1">'Projections raw data'!X150</f>
        <v>36471147.854464628</v>
      </c>
      <c r="Z34" s="21">
        <f ca="1">'Projections raw data'!Y150</f>
        <v>37790143.442776322</v>
      </c>
      <c r="AA34" s="21">
        <f ca="1">'Projections raw data'!Z150</f>
        <v>39109149.592904635</v>
      </c>
      <c r="AB34" s="21">
        <f ca="1">'Projections raw data'!AA150</f>
        <v>40369089.240210362</v>
      </c>
      <c r="AC34" s="21">
        <f ca="1">'Projections raw data'!AB150</f>
        <v>41611950.792523943</v>
      </c>
      <c r="AD34" s="21">
        <f ca="1">'Projections raw data'!AC150</f>
        <v>42811742.97160051</v>
      </c>
      <c r="AE34" s="21">
        <f ca="1">'Projections raw data'!AD150</f>
        <v>43972430.814397924</v>
      </c>
      <c r="AF34" s="21">
        <f ca="1">'Projections raw data'!AE150</f>
        <v>45126769.30750747</v>
      </c>
      <c r="AG34" s="21">
        <f>'Projections raw data'!AF150</f>
        <v>46279365.081995919</v>
      </c>
      <c r="AH34" s="25">
        <f ca="1">AG34/E34</f>
        <v>9.8244389839260169</v>
      </c>
      <c r="AI34" s="25">
        <f ca="1">'Projections raw data'!AG150</f>
        <v>9.8244389839260169</v>
      </c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</row>
    <row r="35" spans="1:209" ht="13.2">
      <c r="A35" s="20" t="s">
        <v>10</v>
      </c>
      <c r="B35" s="2" t="s">
        <v>50</v>
      </c>
      <c r="C35" s="2" t="s">
        <v>46</v>
      </c>
      <c r="D35" s="21">
        <f t="array" ref="D35">SUMPRODUCT('Dayton Kettering MSA Summary'!B26:D26*1000000,1/'Emissions Factors'!C31:E31)</f>
        <v>21080811.626997966</v>
      </c>
      <c r="E35" s="21">
        <f ca="1">D35*(1+'Projections raw data'!D163)</f>
        <v>21649923.675707266</v>
      </c>
      <c r="F35" s="21">
        <f ca="1">E35*(1+'Projections raw data'!E163)</f>
        <v>22002198.147301707</v>
      </c>
      <c r="G35" s="21">
        <f ca="1">F35*(1+'Projections raw data'!F163)</f>
        <v>21876131.047437929</v>
      </c>
      <c r="H35" s="21">
        <f ca="1">G35*(1+'Projections raw data'!G163)</f>
        <v>21722178.69470622</v>
      </c>
      <c r="I35" s="21">
        <f ca="1">H35*(1+'Projections raw data'!H163)</f>
        <v>21516680.539828289</v>
      </c>
      <c r="J35" s="21">
        <f ca="1">I35*(1+'Projections raw data'!I163)</f>
        <v>21275088.217270091</v>
      </c>
      <c r="K35" s="21">
        <f ca="1">J35*(1+'Projections raw data'!J163)</f>
        <v>21021009.194349889</v>
      </c>
      <c r="L35" s="21">
        <f ca="1">K35*(1+'Projections raw data'!K163)</f>
        <v>20788797.858741432</v>
      </c>
      <c r="M35" s="21">
        <f ca="1">L35*(1+'Projections raw data'!L163)</f>
        <v>20582373.346801635</v>
      </c>
      <c r="N35" s="21">
        <f ca="1">M35*(1+'Projections raw data'!M163)</f>
        <v>20261720.16685167</v>
      </c>
      <c r="O35" s="21">
        <f ca="1">N35*(1+'Projections raw data'!N163)</f>
        <v>19935890.205766927</v>
      </c>
      <c r="P35" s="21">
        <f ca="1">O35*(1+'Projections raw data'!O163)</f>
        <v>19651608.179672591</v>
      </c>
      <c r="Q35" s="21">
        <f ca="1">P35*(1+'Projections raw data'!P163)</f>
        <v>19379039.448860854</v>
      </c>
      <c r="R35" s="21">
        <f ca="1">Q35*(1+'Projections raw data'!Q163)</f>
        <v>19107563.676245116</v>
      </c>
      <c r="S35" s="21">
        <f ca="1">R35*(1+'Projections raw data'!R163)</f>
        <v>18853851.0005395</v>
      </c>
      <c r="T35" s="21">
        <f ca="1">S35*(1+'Projections raw data'!S163)</f>
        <v>18626904.027255278</v>
      </c>
      <c r="U35" s="21">
        <f ca="1">T35*(1+'Projections raw data'!T163)</f>
        <v>18412331.768469792</v>
      </c>
      <c r="V35" s="21">
        <f ca="1">U35*(1+'Projections raw data'!U163)</f>
        <v>18218628.879878279</v>
      </c>
      <c r="W35" s="21">
        <f ca="1">V35*(1+'Projections raw data'!V163)</f>
        <v>18038995.581421882</v>
      </c>
      <c r="X35" s="21">
        <f ca="1">W35*(1+'Projections raw data'!W163)</f>
        <v>17868770.583001234</v>
      </c>
      <c r="Y35" s="21">
        <f ca="1">X35*(1+'Projections raw data'!X163)</f>
        <v>17710248.148094762</v>
      </c>
      <c r="Z35" s="21">
        <f ca="1">Y35*(1+'Projections raw data'!Y163)</f>
        <v>17558903.875746869</v>
      </c>
      <c r="AA35" s="21">
        <f ca="1">Z35*(1+'Projections raw data'!Z163)</f>
        <v>17420089.195837941</v>
      </c>
      <c r="AB35" s="21">
        <f ca="1">AA35*(1+'Projections raw data'!AA163)</f>
        <v>17294724.683159489</v>
      </c>
      <c r="AC35" s="21">
        <f ca="1">AB35*(1+'Projections raw data'!AB163)</f>
        <v>17187353.123692915</v>
      </c>
      <c r="AD35" s="21">
        <f ca="1">AC35*(1+'Projections raw data'!AC163)</f>
        <v>17079556.135404482</v>
      </c>
      <c r="AE35" s="21">
        <f ca="1">AD35*(1+'Projections raw data'!AD163)</f>
        <v>16973895.916929159</v>
      </c>
      <c r="AF35" s="21">
        <f ca="1">AE35*(1+'Projections raw data'!AE163)</f>
        <v>16883885.718859795</v>
      </c>
      <c r="AG35" s="21">
        <f ca="1">AF35*(1+'Projections raw data'!AF163)</f>
        <v>16811534.254184648</v>
      </c>
      <c r="AH35" s="25">
        <f t="shared" ref="AH35:AH42" ca="1" si="3">AG35/D35</f>
        <v>0.79748040785366625</v>
      </c>
      <c r="AI35" s="25">
        <f ca="1">'Projections raw data'!AG147</f>
        <v>0.8006191033839124</v>
      </c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</row>
    <row r="36" spans="1:209" ht="13.2">
      <c r="A36" s="20" t="s">
        <v>10</v>
      </c>
      <c r="B36" s="2" t="s">
        <v>50</v>
      </c>
      <c r="C36" s="2" t="s">
        <v>51</v>
      </c>
      <c r="D36" s="21">
        <f>SUM('Dayton Kettering MSA Summary'!E26:G26)*1000000/'Emissions Factors'!$I$31</f>
        <v>4974644.533546444</v>
      </c>
      <c r="E36" s="21">
        <f ca="1">D36*(1+'Projections raw data'!D164)</f>
        <v>5001306.4562993404</v>
      </c>
      <c r="F36" s="21">
        <f ca="1">E36*(1+'Projections raw data'!E164)</f>
        <v>5046385.306854466</v>
      </c>
      <c r="G36" s="21">
        <f ca="1">F36*(1+'Projections raw data'!F164)</f>
        <v>4991285.1329337917</v>
      </c>
      <c r="H36" s="21">
        <f ca="1">G36*(1+'Projections raw data'!G164)</f>
        <v>4958332.2249434916</v>
      </c>
      <c r="I36" s="21">
        <f ca="1">H36*(1+'Projections raw data'!H164)</f>
        <v>4913116.9704795806</v>
      </c>
      <c r="J36" s="21">
        <f ca="1">I36*(1+'Projections raw data'!I164)</f>
        <v>4849529.5437908638</v>
      </c>
      <c r="K36" s="21">
        <f ca="1">J36*(1+'Projections raw data'!J164)</f>
        <v>4785202.8657957762</v>
      </c>
      <c r="L36" s="21">
        <f ca="1">K36*(1+'Projections raw data'!K164)</f>
        <v>4718182.9716700017</v>
      </c>
      <c r="M36" s="21">
        <f ca="1">L36*(1+'Projections raw data'!L164)</f>
        <v>4651567.4529065257</v>
      </c>
      <c r="N36" s="21">
        <f ca="1">M36*(1+'Projections raw data'!M164)</f>
        <v>4547639.2271037325</v>
      </c>
      <c r="O36" s="21">
        <f ca="1">N36*(1+'Projections raw data'!N164)</f>
        <v>4455229.2535881782</v>
      </c>
      <c r="P36" s="21">
        <f ca="1">O36*(1+'Projections raw data'!O164)</f>
        <v>4370068.4705104865</v>
      </c>
      <c r="Q36" s="21">
        <f ca="1">P36*(1+'Projections raw data'!P164)</f>
        <v>4283423.3870214978</v>
      </c>
      <c r="R36" s="21">
        <f ca="1">Q36*(1+'Projections raw data'!Q164)</f>
        <v>4204150.0032448545</v>
      </c>
      <c r="S36" s="21">
        <f ca="1">R36*(1+'Projections raw data'!R164)</f>
        <v>4127417.6540232357</v>
      </c>
      <c r="T36" s="21">
        <f ca="1">S36*(1+'Projections raw data'!S164)</f>
        <v>4062402.5871120016</v>
      </c>
      <c r="U36" s="21">
        <f ca="1">T36*(1+'Projections raw data'!T164)</f>
        <v>4002275.7325607697</v>
      </c>
      <c r="V36" s="21">
        <f ca="1">U36*(1+'Projections raw data'!U164)</f>
        <v>3940679.5051868334</v>
      </c>
      <c r="W36" s="21">
        <f ca="1">V36*(1+'Projections raw data'!V164)</f>
        <v>3884939.4529126799</v>
      </c>
      <c r="X36" s="21">
        <f ca="1">W36*(1+'Projections raw data'!W164)</f>
        <v>3831743.1129971803</v>
      </c>
      <c r="Y36" s="21">
        <f ca="1">X36*(1+'Projections raw data'!X164)</f>
        <v>3787654.9387104549</v>
      </c>
      <c r="Z36" s="21">
        <f ca="1">Y36*(1+'Projections raw data'!Y164)</f>
        <v>3745290.1970011112</v>
      </c>
      <c r="AA36" s="21">
        <f ca="1">Z36*(1+'Projections raw data'!Z164)</f>
        <v>3700650.9571964699</v>
      </c>
      <c r="AB36" s="21">
        <f ca="1">AA36*(1+'Projections raw data'!AA164)</f>
        <v>3655825.0868969345</v>
      </c>
      <c r="AC36" s="21">
        <f ca="1">AB36*(1+'Projections raw data'!AB164)</f>
        <v>3615210.7904105638</v>
      </c>
      <c r="AD36" s="21">
        <f ca="1">AC36*(1+'Projections raw data'!AC164)</f>
        <v>3569139.0109370565</v>
      </c>
      <c r="AE36" s="21">
        <f ca="1">AD36*(1+'Projections raw data'!AD164)</f>
        <v>3518210.9275169261</v>
      </c>
      <c r="AF36" s="21">
        <f ca="1">AE36*(1+'Projections raw data'!AE164)</f>
        <v>3475052.2446859977</v>
      </c>
      <c r="AG36" s="21">
        <f ca="1">AF36*(1+'Projections raw data'!AF164)</f>
        <v>3439804.1022494771</v>
      </c>
      <c r="AH36" s="25">
        <f t="shared" ca="1" si="3"/>
        <v>0.69146731571536568</v>
      </c>
      <c r="AI36" s="25">
        <f ca="1">'Projections raw data'!AG148</f>
        <v>0.69550517913673204</v>
      </c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</row>
    <row r="37" spans="1:209" ht="13.2">
      <c r="A37" s="20" t="s">
        <v>36</v>
      </c>
      <c r="B37" s="2" t="s">
        <v>43</v>
      </c>
      <c r="C37" s="2" t="s">
        <v>44</v>
      </c>
      <c r="D37" s="21">
        <f t="shared" ref="D37:AG37" si="4">D10+D19+D28</f>
        <v>3971243504</v>
      </c>
      <c r="E37" s="21">
        <f t="shared" ca="1" si="4"/>
        <v>3811714189.8069587</v>
      </c>
      <c r="F37" s="21">
        <f t="shared" ca="1" si="4"/>
        <v>3964466965.1945353</v>
      </c>
      <c r="G37" s="21">
        <f t="shared" ca="1" si="4"/>
        <v>3995343830.711987</v>
      </c>
      <c r="H37" s="21">
        <f t="shared" ca="1" si="4"/>
        <v>4019519580.8865948</v>
      </c>
      <c r="I37" s="21">
        <f t="shared" ca="1" si="4"/>
        <v>4034618210.5113268</v>
      </c>
      <c r="J37" s="21">
        <f t="shared" ca="1" si="4"/>
        <v>4045752730.1142678</v>
      </c>
      <c r="K37" s="21">
        <f t="shared" ca="1" si="4"/>
        <v>4057064971.1200471</v>
      </c>
      <c r="L37" s="21">
        <f t="shared" ca="1" si="4"/>
        <v>4070006161.8360624</v>
      </c>
      <c r="M37" s="21">
        <f t="shared" ca="1" si="4"/>
        <v>4074875669.3964081</v>
      </c>
      <c r="N37" s="21">
        <f t="shared" ca="1" si="4"/>
        <v>4054836792.2150059</v>
      </c>
      <c r="O37" s="21">
        <f t="shared" ca="1" si="4"/>
        <v>4038760008.8590965</v>
      </c>
      <c r="P37" s="21">
        <f t="shared" ca="1" si="4"/>
        <v>4027586931.6001015</v>
      </c>
      <c r="Q37" s="21">
        <f t="shared" ca="1" si="4"/>
        <v>4020645760.3522596</v>
      </c>
      <c r="R37" s="21">
        <f t="shared" ca="1" si="4"/>
        <v>4016826998.2946358</v>
      </c>
      <c r="S37" s="21">
        <f t="shared" ca="1" si="4"/>
        <v>4013858479.2126102</v>
      </c>
      <c r="T37" s="21">
        <f t="shared" ca="1" si="4"/>
        <v>4013852585.1053834</v>
      </c>
      <c r="U37" s="21">
        <f t="shared" ca="1" si="4"/>
        <v>4013701836.8881221</v>
      </c>
      <c r="V37" s="21">
        <f t="shared" ca="1" si="4"/>
        <v>4012997146.0363874</v>
      </c>
      <c r="W37" s="21">
        <f t="shared" ca="1" si="4"/>
        <v>4009096413.2339258</v>
      </c>
      <c r="X37" s="21">
        <f t="shared" ca="1" si="4"/>
        <v>4003798457.3758268</v>
      </c>
      <c r="Y37" s="21">
        <f t="shared" ca="1" si="4"/>
        <v>4001788531.7296605</v>
      </c>
      <c r="Z37" s="21">
        <f t="shared" ca="1" si="4"/>
        <v>4002091662.7907591</v>
      </c>
      <c r="AA37" s="21">
        <f t="shared" ca="1" si="4"/>
        <v>4005184094.5675802</v>
      </c>
      <c r="AB37" s="21">
        <f t="shared" ca="1" si="4"/>
        <v>4009527856.614831</v>
      </c>
      <c r="AC37" s="21">
        <f t="shared" ca="1" si="4"/>
        <v>4015047164.0782113</v>
      </c>
      <c r="AD37" s="21">
        <f t="shared" ca="1" si="4"/>
        <v>4020735288.2295856</v>
      </c>
      <c r="AE37" s="21">
        <f t="shared" ca="1" si="4"/>
        <v>4028969953.8889656</v>
      </c>
      <c r="AF37" s="21">
        <f t="shared" ca="1" si="4"/>
        <v>4039804442.66887</v>
      </c>
      <c r="AG37" s="21">
        <f t="shared" ca="1" si="4"/>
        <v>4053076604.7814336</v>
      </c>
      <c r="AH37" s="25">
        <f t="shared" ca="1" si="3"/>
        <v>1.0206064172844118</v>
      </c>
      <c r="AI37" s="25">
        <f ca="1">'Projections raw data'!AG38</f>
        <v>1.0236691092173462</v>
      </c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</row>
    <row r="38" spans="1:209" ht="13.2">
      <c r="B38" s="2"/>
      <c r="C38" s="2" t="s">
        <v>14</v>
      </c>
      <c r="D38" s="21">
        <f t="shared" ref="D38:AG38" si="5">D11+D20+D29</f>
        <v>17526182.487</v>
      </c>
      <c r="E38" s="21">
        <f t="shared" ca="1" si="5"/>
        <v>16879108.256100222</v>
      </c>
      <c r="F38" s="21">
        <f t="shared" ca="1" si="5"/>
        <v>18397844.463775977</v>
      </c>
      <c r="G38" s="21">
        <f t="shared" ca="1" si="5"/>
        <v>18477549.703335658</v>
      </c>
      <c r="H38" s="21">
        <f t="shared" ca="1" si="5"/>
        <v>18514127.831494004</v>
      </c>
      <c r="I38" s="21">
        <f t="shared" ca="1" si="5"/>
        <v>18455975.255081378</v>
      </c>
      <c r="J38" s="21">
        <f t="shared" ca="1" si="5"/>
        <v>18356585.480947897</v>
      </c>
      <c r="K38" s="21">
        <f t="shared" ca="1" si="5"/>
        <v>18231720.392818898</v>
      </c>
      <c r="L38" s="21">
        <f t="shared" ca="1" si="5"/>
        <v>18085416.761019807</v>
      </c>
      <c r="M38" s="21">
        <f t="shared" ca="1" si="5"/>
        <v>17956359.110005405</v>
      </c>
      <c r="N38" s="21">
        <f t="shared" ca="1" si="5"/>
        <v>17723831.985715497</v>
      </c>
      <c r="O38" s="21">
        <f t="shared" ca="1" si="5"/>
        <v>17510325.09417541</v>
      </c>
      <c r="P38" s="21">
        <f t="shared" ca="1" si="5"/>
        <v>17296705.299231388</v>
      </c>
      <c r="Q38" s="21">
        <f t="shared" ca="1" si="5"/>
        <v>17097975.563406952</v>
      </c>
      <c r="R38" s="21">
        <f t="shared" ca="1" si="5"/>
        <v>16917783.431980893</v>
      </c>
      <c r="S38" s="21">
        <f t="shared" ca="1" si="5"/>
        <v>16743552.534183811</v>
      </c>
      <c r="T38" s="21">
        <f t="shared" ca="1" si="5"/>
        <v>16566917.380602527</v>
      </c>
      <c r="U38" s="21">
        <f t="shared" ca="1" si="5"/>
        <v>16391911.499352574</v>
      </c>
      <c r="V38" s="21">
        <f t="shared" ca="1" si="5"/>
        <v>16221679.068137463</v>
      </c>
      <c r="W38" s="21">
        <f t="shared" ca="1" si="5"/>
        <v>16058135.178343501</v>
      </c>
      <c r="X38" s="21">
        <f t="shared" ca="1" si="5"/>
        <v>15898516.964338491</v>
      </c>
      <c r="Y38" s="21">
        <f t="shared" ca="1" si="5"/>
        <v>15741982.045157634</v>
      </c>
      <c r="Z38" s="21">
        <f t="shared" ca="1" si="5"/>
        <v>15587352.028282171</v>
      </c>
      <c r="AA38" s="21">
        <f t="shared" ca="1" si="5"/>
        <v>15442386.547888495</v>
      </c>
      <c r="AB38" s="21">
        <f t="shared" ca="1" si="5"/>
        <v>15295423.684693918</v>
      </c>
      <c r="AC38" s="21">
        <f t="shared" ca="1" si="5"/>
        <v>15147902.001747258</v>
      </c>
      <c r="AD38" s="21">
        <f t="shared" ca="1" si="5"/>
        <v>14999545.84978677</v>
      </c>
      <c r="AE38" s="21">
        <f t="shared" ca="1" si="5"/>
        <v>14851469.860013526</v>
      </c>
      <c r="AF38" s="21">
        <f t="shared" ca="1" si="5"/>
        <v>14702355.135090841</v>
      </c>
      <c r="AG38" s="21">
        <f t="shared" ca="1" si="5"/>
        <v>14553079.377136324</v>
      </c>
      <c r="AH38" s="25">
        <f t="shared" ca="1" si="3"/>
        <v>0.83036219598483763</v>
      </c>
      <c r="AI38" s="25">
        <f ca="1">'Projections raw data'!AG39</f>
        <v>0.85132346847671458</v>
      </c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</row>
    <row r="39" spans="1:209" ht="13.2">
      <c r="B39" s="2" t="s">
        <v>45</v>
      </c>
      <c r="C39" s="2" t="s">
        <v>44</v>
      </c>
      <c r="D39" s="21">
        <f t="shared" ref="D39:AG39" si="6">D12+D21+D30</f>
        <v>3385406513</v>
      </c>
      <c r="E39" s="21">
        <f t="shared" ca="1" si="6"/>
        <v>3402241507.6828256</v>
      </c>
      <c r="F39" s="21">
        <f t="shared" ca="1" si="6"/>
        <v>3420467295.1808519</v>
      </c>
      <c r="G39" s="21">
        <f t="shared" ca="1" si="6"/>
        <v>3419354007.9346857</v>
      </c>
      <c r="H39" s="21">
        <f t="shared" ca="1" si="6"/>
        <v>3419237683.6267829</v>
      </c>
      <c r="I39" s="21">
        <f t="shared" ca="1" si="6"/>
        <v>3407839965.3878279</v>
      </c>
      <c r="J39" s="21">
        <f t="shared" ca="1" si="6"/>
        <v>3407177960.6118011</v>
      </c>
      <c r="K39" s="21">
        <f t="shared" ca="1" si="6"/>
        <v>3404895275.2453442</v>
      </c>
      <c r="L39" s="21">
        <f t="shared" ca="1" si="6"/>
        <v>3403747173.8838835</v>
      </c>
      <c r="M39" s="21">
        <f t="shared" ca="1" si="6"/>
        <v>3392517016.7145677</v>
      </c>
      <c r="N39" s="21">
        <f t="shared" ca="1" si="6"/>
        <v>3366722905.1649904</v>
      </c>
      <c r="O39" s="21">
        <f t="shared" ca="1" si="6"/>
        <v>3345259557.5627351</v>
      </c>
      <c r="P39" s="21">
        <f t="shared" ca="1" si="6"/>
        <v>3329164148.6459665</v>
      </c>
      <c r="Q39" s="21">
        <f t="shared" ca="1" si="6"/>
        <v>3317322847.1029549</v>
      </c>
      <c r="R39" s="21">
        <f t="shared" ca="1" si="6"/>
        <v>3307685185.0243421</v>
      </c>
      <c r="S39" s="21">
        <f t="shared" ca="1" si="6"/>
        <v>3298369401.2846785</v>
      </c>
      <c r="T39" s="21">
        <f t="shared" ca="1" si="6"/>
        <v>3290231102.8977017</v>
      </c>
      <c r="U39" s="21">
        <f t="shared" ca="1" si="6"/>
        <v>3283139436.4925961</v>
      </c>
      <c r="V39" s="21">
        <f t="shared" ca="1" si="6"/>
        <v>3274195494.6901002</v>
      </c>
      <c r="W39" s="21">
        <f t="shared" ca="1" si="6"/>
        <v>3262729632.6002626</v>
      </c>
      <c r="X39" s="21">
        <f t="shared" ca="1" si="6"/>
        <v>3255382924.1565695</v>
      </c>
      <c r="Y39" s="21">
        <f t="shared" ca="1" si="6"/>
        <v>3251542761.3663306</v>
      </c>
      <c r="Z39" s="21">
        <f t="shared" ca="1" si="6"/>
        <v>3249736050.1830134</v>
      </c>
      <c r="AA39" s="21">
        <f t="shared" ca="1" si="6"/>
        <v>3248234307.2172241</v>
      </c>
      <c r="AB39" s="21">
        <f t="shared" ca="1" si="6"/>
        <v>3248472620.1272154</v>
      </c>
      <c r="AC39" s="21">
        <f t="shared" ca="1" si="6"/>
        <v>3245654205.0252905</v>
      </c>
      <c r="AD39" s="21">
        <f t="shared" ca="1" si="6"/>
        <v>3245622982.7013612</v>
      </c>
      <c r="AE39" s="21">
        <f t="shared" ca="1" si="6"/>
        <v>3245872385.6224604</v>
      </c>
      <c r="AF39" s="21">
        <f t="shared" ca="1" si="6"/>
        <v>3249643308.1278768</v>
      </c>
      <c r="AG39" s="21">
        <f t="shared" ca="1" si="6"/>
        <v>3254434458.5080891</v>
      </c>
      <c r="AH39" s="25">
        <f t="shared" ca="1" si="3"/>
        <v>0.96131275402555738</v>
      </c>
      <c r="AI39" s="25">
        <f ca="1">'Projections raw data'!AG40</f>
        <v>0.98084447025563393</v>
      </c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</row>
    <row r="40" spans="1:209" ht="13.2">
      <c r="B40" s="2"/>
      <c r="C40" s="2" t="s">
        <v>14</v>
      </c>
      <c r="D40" s="21">
        <f t="shared" ref="D40:AG40" si="7">D13+D22+D31</f>
        <v>13071843.354</v>
      </c>
      <c r="E40" s="21">
        <f t="shared" ca="1" si="7"/>
        <v>13494129.502778925</v>
      </c>
      <c r="F40" s="21">
        <f t="shared" ca="1" si="7"/>
        <v>13291557.531870542</v>
      </c>
      <c r="G40" s="21">
        <f t="shared" ca="1" si="7"/>
        <v>13324387.65256905</v>
      </c>
      <c r="H40" s="21">
        <f t="shared" ca="1" si="7"/>
        <v>13387207.334393237</v>
      </c>
      <c r="I40" s="21">
        <f t="shared" ca="1" si="7"/>
        <v>13395539.526455255</v>
      </c>
      <c r="J40" s="21">
        <f t="shared" ca="1" si="7"/>
        <v>13450993.232617471</v>
      </c>
      <c r="K40" s="21">
        <f t="shared" ca="1" si="7"/>
        <v>13449545.119195215</v>
      </c>
      <c r="L40" s="21">
        <f t="shared" ca="1" si="7"/>
        <v>13401304.395246983</v>
      </c>
      <c r="M40" s="21">
        <f t="shared" ca="1" si="7"/>
        <v>13362312.686853295</v>
      </c>
      <c r="N40" s="21">
        <f t="shared" ca="1" si="7"/>
        <v>13261975.079203419</v>
      </c>
      <c r="O40" s="21">
        <f t="shared" ca="1" si="7"/>
        <v>13180650.157024387</v>
      </c>
      <c r="P40" s="21">
        <f t="shared" ca="1" si="7"/>
        <v>13090534.241880782</v>
      </c>
      <c r="Q40" s="21">
        <f t="shared" ca="1" si="7"/>
        <v>13013703.737006173</v>
      </c>
      <c r="R40" s="21">
        <f t="shared" ca="1" si="7"/>
        <v>12953352.800456131</v>
      </c>
      <c r="S40" s="21">
        <f t="shared" ca="1" si="7"/>
        <v>12891459.552833956</v>
      </c>
      <c r="T40" s="21">
        <f t="shared" ca="1" si="7"/>
        <v>12816590.56056037</v>
      </c>
      <c r="U40" s="21">
        <f t="shared" ca="1" si="7"/>
        <v>12735297.618914684</v>
      </c>
      <c r="V40" s="21">
        <f t="shared" ca="1" si="7"/>
        <v>12652609.312712826</v>
      </c>
      <c r="W40" s="21">
        <f t="shared" ca="1" si="7"/>
        <v>12570479.513162421</v>
      </c>
      <c r="X40" s="21">
        <f t="shared" ca="1" si="7"/>
        <v>12491907.810560532</v>
      </c>
      <c r="Y40" s="21">
        <f t="shared" ca="1" si="7"/>
        <v>12416016.236408271</v>
      </c>
      <c r="Z40" s="21">
        <f t="shared" ca="1" si="7"/>
        <v>12340261.923649829</v>
      </c>
      <c r="AA40" s="21">
        <f t="shared" ca="1" si="7"/>
        <v>12272822.743887536</v>
      </c>
      <c r="AB40" s="21">
        <f t="shared" ca="1" si="7"/>
        <v>12203358.62832734</v>
      </c>
      <c r="AC40" s="21">
        <f t="shared" ca="1" si="7"/>
        <v>12131112.261625413</v>
      </c>
      <c r="AD40" s="21">
        <f t="shared" ca="1" si="7"/>
        <v>12056068.157161083</v>
      </c>
      <c r="AE40" s="21">
        <f t="shared" ca="1" si="7"/>
        <v>11980373.55776375</v>
      </c>
      <c r="AF40" s="21">
        <f t="shared" ca="1" si="7"/>
        <v>11901957.701638117</v>
      </c>
      <c r="AG40" s="21">
        <f t="shared" ca="1" si="7"/>
        <v>11821841.669797823</v>
      </c>
      <c r="AH40" s="25">
        <f t="shared" ca="1" si="3"/>
        <v>0.90437449024206096</v>
      </c>
      <c r="AI40" s="25">
        <f ca="1">'Projections raw data'!AG41</f>
        <v>0.92153720928864169</v>
      </c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</row>
    <row r="41" spans="1:209" ht="13.2">
      <c r="B41" s="2" t="s">
        <v>48</v>
      </c>
      <c r="C41" s="2" t="s">
        <v>44</v>
      </c>
      <c r="D41" s="21">
        <f t="shared" ref="D41:AG41" si="8">D14+D23+D32</f>
        <v>2937303019</v>
      </c>
      <c r="E41" s="21">
        <f t="shared" ca="1" si="8"/>
        <v>3015674544.0439081</v>
      </c>
      <c r="F41" s="21">
        <f t="shared" ca="1" si="8"/>
        <v>3101331918.345212</v>
      </c>
      <c r="G41" s="21">
        <f t="shared" ca="1" si="8"/>
        <v>3108831324.5249834</v>
      </c>
      <c r="H41" s="21">
        <f t="shared" ca="1" si="8"/>
        <v>3139709940.8615236</v>
      </c>
      <c r="I41" s="21">
        <f t="shared" ca="1" si="8"/>
        <v>3171677768.9632273</v>
      </c>
      <c r="J41" s="21">
        <f t="shared" ca="1" si="8"/>
        <v>3183618595.1855402</v>
      </c>
      <c r="K41" s="21">
        <f t="shared" ca="1" si="8"/>
        <v>3193879261.9211235</v>
      </c>
      <c r="L41" s="21">
        <f t="shared" ca="1" si="8"/>
        <v>3215503798.7947369</v>
      </c>
      <c r="M41" s="21">
        <f t="shared" ca="1" si="8"/>
        <v>3226873071.8546047</v>
      </c>
      <c r="N41" s="21">
        <f t="shared" ca="1" si="8"/>
        <v>3222544071.2961426</v>
      </c>
      <c r="O41" s="21">
        <f t="shared" ca="1" si="8"/>
        <v>3220731282.6572275</v>
      </c>
      <c r="P41" s="21">
        <f t="shared" ca="1" si="8"/>
        <v>3215766173.8965998</v>
      </c>
      <c r="Q41" s="21">
        <f t="shared" ca="1" si="8"/>
        <v>3209084534.8768897</v>
      </c>
      <c r="R41" s="21">
        <f t="shared" ca="1" si="8"/>
        <v>3204894551.3032227</v>
      </c>
      <c r="S41" s="21">
        <f t="shared" ca="1" si="8"/>
        <v>3200769160.4543934</v>
      </c>
      <c r="T41" s="21">
        <f t="shared" ca="1" si="8"/>
        <v>3203812243.9959106</v>
      </c>
      <c r="U41" s="21">
        <f t="shared" ca="1" si="8"/>
        <v>3203855499.5731664</v>
      </c>
      <c r="V41" s="21">
        <f t="shared" ca="1" si="8"/>
        <v>3200888854.1593699</v>
      </c>
      <c r="W41" s="21">
        <f t="shared" ca="1" si="8"/>
        <v>3194628518.130167</v>
      </c>
      <c r="X41" s="21">
        <f t="shared" ca="1" si="8"/>
        <v>3195528023.7952557</v>
      </c>
      <c r="Y41" s="21">
        <f t="shared" ca="1" si="8"/>
        <v>3201136140.7946939</v>
      </c>
      <c r="Z41" s="21">
        <f t="shared" ca="1" si="8"/>
        <v>3203898545.7289734</v>
      </c>
      <c r="AA41" s="21">
        <f t="shared" ca="1" si="8"/>
        <v>3202145648.1480598</v>
      </c>
      <c r="AB41" s="21">
        <f t="shared" ca="1" si="8"/>
        <v>3202229084.0098715</v>
      </c>
      <c r="AC41" s="21">
        <f t="shared" ca="1" si="8"/>
        <v>3203721205.9236355</v>
      </c>
      <c r="AD41" s="21">
        <f t="shared" ca="1" si="8"/>
        <v>3197491725.1608944</v>
      </c>
      <c r="AE41" s="21">
        <f t="shared" ca="1" si="8"/>
        <v>3186886227.5015883</v>
      </c>
      <c r="AF41" s="21">
        <f t="shared" ca="1" si="8"/>
        <v>3183155961.448101</v>
      </c>
      <c r="AG41" s="21">
        <f t="shared" ca="1" si="8"/>
        <v>3191140449.0857134</v>
      </c>
      <c r="AH41" s="25">
        <f t="shared" ca="1" si="3"/>
        <v>1.0864185371559425</v>
      </c>
      <c r="AI41" s="25">
        <f ca="1">'Projections raw data'!AG44</f>
        <v>1.0716624449073631</v>
      </c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</row>
    <row r="42" spans="1:209" ht="13.2">
      <c r="B42" s="2"/>
      <c r="C42" s="2" t="s">
        <v>14</v>
      </c>
      <c r="D42" s="21">
        <f t="shared" ref="D42:AG42" si="9">D15+D24+D33</f>
        <v>11625484.493000001</v>
      </c>
      <c r="E42" s="21">
        <f t="shared" ca="1" si="9"/>
        <v>11889533.72278427</v>
      </c>
      <c r="F42" s="21">
        <f t="shared" ca="1" si="9"/>
        <v>12328290.247749323</v>
      </c>
      <c r="G42" s="21">
        <f t="shared" ca="1" si="9"/>
        <v>12351976.19080144</v>
      </c>
      <c r="H42" s="21">
        <f t="shared" ca="1" si="9"/>
        <v>12416334.545133185</v>
      </c>
      <c r="I42" s="21">
        <f t="shared" ca="1" si="9"/>
        <v>12548107.305847928</v>
      </c>
      <c r="J42" s="21">
        <f t="shared" ca="1" si="9"/>
        <v>12525431.330189759</v>
      </c>
      <c r="K42" s="21">
        <f t="shared" ca="1" si="9"/>
        <v>12510619.715165075</v>
      </c>
      <c r="L42" s="21">
        <f t="shared" ca="1" si="9"/>
        <v>12543909.846621823</v>
      </c>
      <c r="M42" s="21">
        <f t="shared" ca="1" si="9"/>
        <v>12584624.486211307</v>
      </c>
      <c r="N42" s="21">
        <f t="shared" ca="1" si="9"/>
        <v>12528554.18238158</v>
      </c>
      <c r="O42" s="21">
        <f t="shared" ca="1" si="9"/>
        <v>12517485.054357763</v>
      </c>
      <c r="P42" s="21">
        <f t="shared" ca="1" si="9"/>
        <v>12460710.661615737</v>
      </c>
      <c r="Q42" s="21">
        <f t="shared" ca="1" si="9"/>
        <v>12411049.571657792</v>
      </c>
      <c r="R42" s="21">
        <f t="shared" ca="1" si="9"/>
        <v>12403043.09924073</v>
      </c>
      <c r="S42" s="21">
        <f t="shared" ca="1" si="9"/>
        <v>12375084.123765873</v>
      </c>
      <c r="T42" s="21">
        <f t="shared" ca="1" si="9"/>
        <v>12364995.363070074</v>
      </c>
      <c r="U42" s="21">
        <f t="shared" ca="1" si="9"/>
        <v>12372096.844351975</v>
      </c>
      <c r="V42" s="21">
        <f t="shared" ca="1" si="9"/>
        <v>12360295.398345275</v>
      </c>
      <c r="W42" s="21">
        <f t="shared" ca="1" si="9"/>
        <v>12363518.775915805</v>
      </c>
      <c r="X42" s="21">
        <f t="shared" ca="1" si="9"/>
        <v>12397352.289895706</v>
      </c>
      <c r="Y42" s="21">
        <f t="shared" ca="1" si="9"/>
        <v>12460456.506474018</v>
      </c>
      <c r="Z42" s="21">
        <f t="shared" ca="1" si="9"/>
        <v>12540082.996673256</v>
      </c>
      <c r="AA42" s="21">
        <f t="shared" ca="1" si="9"/>
        <v>12554818.000089824</v>
      </c>
      <c r="AB42" s="21">
        <f t="shared" ca="1" si="9"/>
        <v>12643328.794127531</v>
      </c>
      <c r="AC42" s="21">
        <f t="shared" ca="1" si="9"/>
        <v>12685227.240383072</v>
      </c>
      <c r="AD42" s="21">
        <f t="shared" ca="1" si="9"/>
        <v>12683025.124425597</v>
      </c>
      <c r="AE42" s="21">
        <f t="shared" ca="1" si="9"/>
        <v>12705342.463328727</v>
      </c>
      <c r="AF42" s="21">
        <f t="shared" ca="1" si="9"/>
        <v>12731852.189041484</v>
      </c>
      <c r="AG42" s="21">
        <f t="shared" ca="1" si="9"/>
        <v>12818802.653050756</v>
      </c>
      <c r="AH42" s="25">
        <f t="shared" ca="1" si="3"/>
        <v>1.1026467465308032</v>
      </c>
      <c r="AI42" s="25">
        <f ca="1">'Projections raw data'!AG45</f>
        <v>1.0756236064976425</v>
      </c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</row>
    <row r="43" spans="1:209" ht="13.2">
      <c r="B43" s="2" t="s">
        <v>50</v>
      </c>
      <c r="C43" s="20" t="s">
        <v>44</v>
      </c>
      <c r="D43" s="21">
        <f t="shared" ref="D43:AG43" si="10">D16+D25+D34</f>
        <v>0</v>
      </c>
      <c r="E43" s="21">
        <f t="shared" ca="1" si="10"/>
        <v>7143206.6230706684</v>
      </c>
      <c r="F43" s="21">
        <f t="shared" ca="1" si="10"/>
        <v>9370784.8174033631</v>
      </c>
      <c r="G43" s="21">
        <f t="shared" ca="1" si="10"/>
        <v>11829238.393516216</v>
      </c>
      <c r="H43" s="21">
        <f t="shared" ca="1" si="10"/>
        <v>14447196.604281344</v>
      </c>
      <c r="I43" s="21">
        <f t="shared" ca="1" si="10"/>
        <v>17218399.727691438</v>
      </c>
      <c r="J43" s="21">
        <f t="shared" ca="1" si="10"/>
        <v>20033929.41833654</v>
      </c>
      <c r="K43" s="21">
        <f t="shared" ca="1" si="10"/>
        <v>22829181.452512097</v>
      </c>
      <c r="L43" s="21">
        <f t="shared" ca="1" si="10"/>
        <v>25644915.502310634</v>
      </c>
      <c r="M43" s="21">
        <f t="shared" ca="1" si="10"/>
        <v>28498040.500334002</v>
      </c>
      <c r="N43" s="21">
        <f t="shared" ca="1" si="10"/>
        <v>31170091.113043495</v>
      </c>
      <c r="O43" s="21">
        <f t="shared" ca="1" si="10"/>
        <v>33762835.490470752</v>
      </c>
      <c r="P43" s="21">
        <f t="shared" ca="1" si="10"/>
        <v>36337034.307770595</v>
      </c>
      <c r="Q43" s="21">
        <f t="shared" ca="1" si="10"/>
        <v>38891577.156705879</v>
      </c>
      <c r="R43" s="21">
        <f t="shared" ca="1" si="10"/>
        <v>41388461.714069232</v>
      </c>
      <c r="S43" s="21">
        <f t="shared" ca="1" si="10"/>
        <v>43857160.278932139</v>
      </c>
      <c r="T43" s="21">
        <f t="shared" ca="1" si="10"/>
        <v>46310265.444969818</v>
      </c>
      <c r="U43" s="21">
        <f t="shared" ca="1" si="10"/>
        <v>48738578.034819692</v>
      </c>
      <c r="V43" s="21">
        <f t="shared" ca="1" si="10"/>
        <v>51138451.047043599</v>
      </c>
      <c r="W43" s="21">
        <f t="shared" ca="1" si="10"/>
        <v>53514297.546755858</v>
      </c>
      <c r="X43" s="21">
        <f t="shared" ca="1" si="10"/>
        <v>55824146.119870618</v>
      </c>
      <c r="Y43" s="21">
        <f t="shared" ca="1" si="10"/>
        <v>58084815.418194488</v>
      </c>
      <c r="Z43" s="21">
        <f t="shared" ca="1" si="10"/>
        <v>60338925.226952508</v>
      </c>
      <c r="AA43" s="21">
        <f t="shared" ca="1" si="10"/>
        <v>62604755.677969709</v>
      </c>
      <c r="AB43" s="21">
        <f t="shared" ca="1" si="10"/>
        <v>64787605.246711172</v>
      </c>
      <c r="AC43" s="21">
        <f t="shared" ca="1" si="10"/>
        <v>66954412.361439131</v>
      </c>
      <c r="AD43" s="21">
        <f t="shared" ca="1" si="10"/>
        <v>69063143.245005161</v>
      </c>
      <c r="AE43" s="21">
        <f t="shared" ca="1" si="10"/>
        <v>71119777.707400814</v>
      </c>
      <c r="AF43" s="21">
        <f t="shared" ca="1" si="10"/>
        <v>73177042.378283739</v>
      </c>
      <c r="AG43" s="21">
        <f t="shared" si="10"/>
        <v>75242450.399061248</v>
      </c>
      <c r="AH43" s="25">
        <f t="shared" ref="AH43:AH45" ca="1" si="11">AG43/E43</f>
        <v>10.533427684430691</v>
      </c>
      <c r="AI43" s="25">
        <f ca="1">'Projections raw data'!AG51</f>
        <v>10.533427684430691</v>
      </c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</row>
    <row r="44" spans="1:209" ht="13.2">
      <c r="B44" s="2"/>
      <c r="C44" s="2" t="s">
        <v>46</v>
      </c>
      <c r="D44" s="21">
        <f t="shared" ref="D44:AG44" si="12">D17+D26+D35</f>
        <v>33588772.156648219</v>
      </c>
      <c r="E44" s="21">
        <f t="shared" ca="1" si="12"/>
        <v>34579608.369075194</v>
      </c>
      <c r="F44" s="21">
        <f t="shared" ca="1" si="12"/>
        <v>35230014.14876499</v>
      </c>
      <c r="G44" s="21">
        <f t="shared" ca="1" si="12"/>
        <v>35119836.432648338</v>
      </c>
      <c r="H44" s="21">
        <f t="shared" ca="1" si="12"/>
        <v>34964498.671353929</v>
      </c>
      <c r="I44" s="21">
        <f t="shared" ca="1" si="12"/>
        <v>34725659.986604102</v>
      </c>
      <c r="J44" s="21">
        <f t="shared" ca="1" si="12"/>
        <v>34427530.422305867</v>
      </c>
      <c r="K44" s="21">
        <f t="shared" ca="1" si="12"/>
        <v>34107737.21954798</v>
      </c>
      <c r="L44" s="21">
        <f t="shared" ca="1" si="12"/>
        <v>33821699.990488216</v>
      </c>
      <c r="M44" s="21">
        <f t="shared" ca="1" si="12"/>
        <v>33576047.574314654</v>
      </c>
      <c r="N44" s="21">
        <f t="shared" ca="1" si="12"/>
        <v>33143301.183684025</v>
      </c>
      <c r="O44" s="21">
        <f t="shared" ca="1" si="12"/>
        <v>32699845.456727818</v>
      </c>
      <c r="P44" s="21">
        <f t="shared" ca="1" si="12"/>
        <v>32322025.385761827</v>
      </c>
      <c r="Q44" s="21">
        <f t="shared" ca="1" si="12"/>
        <v>31961437.775253035</v>
      </c>
      <c r="R44" s="21">
        <f t="shared" ca="1" si="12"/>
        <v>31600753.063071154</v>
      </c>
      <c r="S44" s="21">
        <f t="shared" ca="1" si="12"/>
        <v>31267463.427528292</v>
      </c>
      <c r="T44" s="21">
        <f t="shared" ca="1" si="12"/>
        <v>30976682.884442188</v>
      </c>
      <c r="U44" s="21">
        <f t="shared" ca="1" si="12"/>
        <v>30704894.206714094</v>
      </c>
      <c r="V44" s="21">
        <f t="shared" ca="1" si="12"/>
        <v>30466380.591005623</v>
      </c>
      <c r="W44" s="21">
        <f t="shared" ca="1" si="12"/>
        <v>30250077.181286674</v>
      </c>
      <c r="X44" s="21">
        <f t="shared" ca="1" si="12"/>
        <v>30048372.423900086</v>
      </c>
      <c r="Y44" s="21">
        <f t="shared" ca="1" si="12"/>
        <v>29865234.430831306</v>
      </c>
      <c r="Z44" s="21">
        <f t="shared" ca="1" si="12"/>
        <v>29693208.960687291</v>
      </c>
      <c r="AA44" s="21">
        <f t="shared" ca="1" si="12"/>
        <v>29541412.770908829</v>
      </c>
      <c r="AB44" s="21">
        <f t="shared" ca="1" si="12"/>
        <v>29411571.935726866</v>
      </c>
      <c r="AC44" s="21">
        <f t="shared" ca="1" si="12"/>
        <v>29311574.736564174</v>
      </c>
      <c r="AD44" s="21">
        <f t="shared" ca="1" si="12"/>
        <v>29210349.622968175</v>
      </c>
      <c r="AE44" s="21">
        <f t="shared" ca="1" si="12"/>
        <v>29112255.321038686</v>
      </c>
      <c r="AF44" s="21">
        <f t="shared" ca="1" si="12"/>
        <v>29040429.35397144</v>
      </c>
      <c r="AG44" s="21">
        <f t="shared" ca="1" si="12"/>
        <v>28998540.324427485</v>
      </c>
      <c r="AH44" s="25">
        <f t="shared" ca="1" si="11"/>
        <v>0.83860233507910686</v>
      </c>
      <c r="AI44" s="25">
        <f ca="1">'Projections raw data'!AG48</f>
        <v>0.8604266142135385</v>
      </c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</row>
    <row r="45" spans="1:209" ht="13.2">
      <c r="C45" s="2" t="s">
        <v>51</v>
      </c>
      <c r="D45" s="21">
        <f t="shared" ref="D45:AG45" si="13">D18+D27+D36</f>
        <v>7926269.8592383163</v>
      </c>
      <c r="E45" s="21">
        <f t="shared" ca="1" si="13"/>
        <v>7989026.5272119176</v>
      </c>
      <c r="F45" s="21">
        <f t="shared" ca="1" si="13"/>
        <v>8081460.7803774588</v>
      </c>
      <c r="G45" s="21">
        <f t="shared" ca="1" si="13"/>
        <v>8014366.0395372324</v>
      </c>
      <c r="H45" s="21">
        <f t="shared" ca="1" si="13"/>
        <v>7982404.1199792223</v>
      </c>
      <c r="I45" s="21">
        <f t="shared" ca="1" si="13"/>
        <v>7930600.0722961696</v>
      </c>
      <c r="J45" s="21">
        <f t="shared" ca="1" si="13"/>
        <v>7848960.1590173449</v>
      </c>
      <c r="K45" s="21">
        <f t="shared" ca="1" si="13"/>
        <v>7765709.5094270492</v>
      </c>
      <c r="L45" s="21">
        <f t="shared" ca="1" si="13"/>
        <v>7677671.9840470199</v>
      </c>
      <c r="M45" s="21">
        <f t="shared" ca="1" si="13"/>
        <v>7589835.5987689914</v>
      </c>
      <c r="N45" s="21">
        <f t="shared" ca="1" si="13"/>
        <v>7440822.5794446822</v>
      </c>
      <c r="O45" s="21">
        <f t="shared" ca="1" si="13"/>
        <v>7309812.8479913184</v>
      </c>
      <c r="P45" s="21">
        <f t="shared" ca="1" si="13"/>
        <v>7189968.7854069537</v>
      </c>
      <c r="Q45" s="21">
        <f t="shared" ca="1" si="13"/>
        <v>7067051.4797095498</v>
      </c>
      <c r="R45" s="21">
        <f t="shared" ca="1" si="13"/>
        <v>6955606.3400087599</v>
      </c>
      <c r="S45" s="21">
        <f t="shared" ca="1" si="13"/>
        <v>6847757.5528585529</v>
      </c>
      <c r="T45" s="21">
        <f t="shared" ca="1" si="13"/>
        <v>6758717.3852044102</v>
      </c>
      <c r="U45" s="21">
        <f t="shared" ca="1" si="13"/>
        <v>6677311.5092364047</v>
      </c>
      <c r="V45" s="21">
        <f t="shared" ca="1" si="13"/>
        <v>6593025.2381866891</v>
      </c>
      <c r="W45" s="21">
        <f t="shared" ca="1" si="13"/>
        <v>6518056.4516698103</v>
      </c>
      <c r="X45" s="21">
        <f t="shared" ca="1" si="13"/>
        <v>6446940.6789451241</v>
      </c>
      <c r="Y45" s="21">
        <f t="shared" ca="1" si="13"/>
        <v>6390724.2429190446</v>
      </c>
      <c r="Z45" s="21">
        <f t="shared" ca="1" si="13"/>
        <v>6337106.91468684</v>
      </c>
      <c r="AA45" s="21">
        <f t="shared" ca="1" si="13"/>
        <v>6279364.4872447411</v>
      </c>
      <c r="AB45" s="21">
        <f t="shared" ca="1" si="13"/>
        <v>6220994.5064420002</v>
      </c>
      <c r="AC45" s="21">
        <f t="shared" ca="1" si="13"/>
        <v>6169454.6229846664</v>
      </c>
      <c r="AD45" s="21">
        <f t="shared" ca="1" si="13"/>
        <v>6108348.562550501</v>
      </c>
      <c r="AE45" s="21">
        <f t="shared" ca="1" si="13"/>
        <v>6038619.8485293016</v>
      </c>
      <c r="AF45" s="21">
        <f t="shared" ca="1" si="13"/>
        <v>5981802.9790264908</v>
      </c>
      <c r="AG45" s="21">
        <f t="shared" ca="1" si="13"/>
        <v>5938251.5706385039</v>
      </c>
      <c r="AH45" s="25">
        <f t="shared" ca="1" si="11"/>
        <v>0.74330102052006686</v>
      </c>
      <c r="AI45" s="25">
        <f ca="1">'Projections raw data'!AG49</f>
        <v>0.74746051389887913</v>
      </c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</row>
    <row r="47" spans="1:209" ht="15.6">
      <c r="A47" s="29" t="s">
        <v>69</v>
      </c>
    </row>
    <row r="48" spans="1:209" ht="13.2">
      <c r="A48" s="30" t="s">
        <v>27</v>
      </c>
      <c r="B48" s="30" t="s">
        <v>4</v>
      </c>
      <c r="C48" s="30" t="s">
        <v>70</v>
      </c>
      <c r="D48" s="31">
        <v>2021</v>
      </c>
      <c r="E48" s="31">
        <v>2022</v>
      </c>
      <c r="F48" s="31">
        <v>2023</v>
      </c>
      <c r="G48" s="31">
        <v>2024</v>
      </c>
      <c r="H48" s="31">
        <v>2025</v>
      </c>
      <c r="I48" s="31">
        <v>2026</v>
      </c>
      <c r="J48" s="31">
        <v>2027</v>
      </c>
      <c r="K48" s="31">
        <v>2028</v>
      </c>
      <c r="L48" s="31">
        <v>2029</v>
      </c>
      <c r="M48" s="31">
        <v>2030</v>
      </c>
      <c r="N48" s="31">
        <v>2031</v>
      </c>
      <c r="O48" s="31">
        <v>2032</v>
      </c>
      <c r="P48" s="31">
        <v>2033</v>
      </c>
      <c r="Q48" s="31">
        <v>2034</v>
      </c>
      <c r="R48" s="31">
        <v>2035</v>
      </c>
      <c r="S48" s="31">
        <v>2036</v>
      </c>
      <c r="T48" s="31">
        <v>2037</v>
      </c>
      <c r="U48" s="31">
        <v>2038</v>
      </c>
      <c r="V48" s="31">
        <v>2039</v>
      </c>
      <c r="W48" s="31">
        <v>2040</v>
      </c>
      <c r="X48" s="31">
        <v>2041</v>
      </c>
      <c r="Y48" s="31">
        <v>2042</v>
      </c>
      <c r="Z48" s="31">
        <v>2043</v>
      </c>
      <c r="AA48" s="31">
        <v>2044</v>
      </c>
      <c r="AB48" s="31">
        <v>2045</v>
      </c>
      <c r="AC48" s="31">
        <v>2046</v>
      </c>
      <c r="AD48" s="31">
        <v>2047</v>
      </c>
      <c r="AE48" s="31">
        <v>2048</v>
      </c>
      <c r="AF48" s="31">
        <v>2049</v>
      </c>
      <c r="AG48" s="31">
        <v>2050</v>
      </c>
      <c r="AH48" s="31" t="s">
        <v>71</v>
      </c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</row>
    <row r="49" spans="1:34" ht="13.2">
      <c r="A49" s="32" t="s">
        <v>5</v>
      </c>
      <c r="B49" s="33" t="s">
        <v>43</v>
      </c>
      <c r="C49" s="34" t="s">
        <v>0</v>
      </c>
      <c r="D49" s="35">
        <f t="shared" ref="D49:AG49" si="14">VLOOKUP($C49,emission_factors,COLUMN(D$48)-1,FALSE)*D10/1000000</f>
        <v>394747.77338493522</v>
      </c>
      <c r="E49" s="35">
        <f t="shared" ca="1" si="14"/>
        <v>335099.3630370014</v>
      </c>
      <c r="F49" s="35">
        <f t="shared" ca="1" si="14"/>
        <v>310552.36388166278</v>
      </c>
      <c r="G49" s="35">
        <f t="shared" ca="1" si="14"/>
        <v>312813.05202610319</v>
      </c>
      <c r="H49" s="35">
        <f t="shared" ca="1" si="14"/>
        <v>331276.74999381212</v>
      </c>
      <c r="I49" s="35">
        <f t="shared" ca="1" si="14"/>
        <v>323687.28060741868</v>
      </c>
      <c r="J49" s="35">
        <f t="shared" ca="1" si="14"/>
        <v>314839.32051504549</v>
      </c>
      <c r="K49" s="35">
        <f t="shared" ca="1" si="14"/>
        <v>313002.96774567961</v>
      </c>
      <c r="L49" s="35">
        <f t="shared" ca="1" si="14"/>
        <v>322736.13044904685</v>
      </c>
      <c r="M49" s="35">
        <f t="shared" ca="1" si="14"/>
        <v>333863.50370301475</v>
      </c>
      <c r="N49" s="35">
        <f t="shared" ca="1" si="14"/>
        <v>339986.06227408868</v>
      </c>
      <c r="O49" s="35">
        <f t="shared" ca="1" si="14"/>
        <v>347925.36226263596</v>
      </c>
      <c r="P49" s="35">
        <f t="shared" ca="1" si="14"/>
        <v>354583.54983370361</v>
      </c>
      <c r="Q49" s="35">
        <f t="shared" ca="1" si="14"/>
        <v>360820.3411594074</v>
      </c>
      <c r="R49" s="35">
        <f t="shared" ca="1" si="14"/>
        <v>360152.98832822416</v>
      </c>
      <c r="S49" s="35">
        <f t="shared" ca="1" si="14"/>
        <v>358489.34888411773</v>
      </c>
      <c r="T49" s="35">
        <f t="shared" ca="1" si="14"/>
        <v>356918.2897662418</v>
      </c>
      <c r="U49" s="35">
        <f t="shared" ca="1" si="14"/>
        <v>353320.66117245902</v>
      </c>
      <c r="V49" s="35">
        <f t="shared" ca="1" si="14"/>
        <v>350755.05735137773</v>
      </c>
      <c r="W49" s="35">
        <f t="shared" ca="1" si="14"/>
        <v>347853.0372567196</v>
      </c>
      <c r="X49" s="35">
        <f t="shared" ca="1" si="14"/>
        <v>345977.28774405312</v>
      </c>
      <c r="Y49" s="35">
        <f t="shared" ca="1" si="14"/>
        <v>344192.01798946754</v>
      </c>
      <c r="Z49" s="35">
        <f t="shared" ca="1" si="14"/>
        <v>343640.55118728481</v>
      </c>
      <c r="AA49" s="35">
        <f t="shared" ca="1" si="14"/>
        <v>342194.24290581112</v>
      </c>
      <c r="AB49" s="35">
        <f t="shared" ca="1" si="14"/>
        <v>342460.82634645759</v>
      </c>
      <c r="AC49" s="35">
        <f t="shared" ca="1" si="14"/>
        <v>340924.34891046159</v>
      </c>
      <c r="AD49" s="35">
        <f t="shared" ca="1" si="14"/>
        <v>339899.97964524874</v>
      </c>
      <c r="AE49" s="35">
        <f t="shared" ca="1" si="14"/>
        <v>340774.96060911659</v>
      </c>
      <c r="AF49" s="35">
        <f t="shared" ca="1" si="14"/>
        <v>339340.33053830656</v>
      </c>
      <c r="AG49" s="35">
        <f t="shared" ca="1" si="14"/>
        <v>337647.33389851329</v>
      </c>
      <c r="AH49" s="36">
        <f t="shared" ref="AH49:AH55" ca="1" si="15">(AG49-D49)/D49</f>
        <v>-0.14465044095572613</v>
      </c>
    </row>
    <row r="50" spans="1:34" ht="13.2">
      <c r="A50" s="32" t="s">
        <v>5</v>
      </c>
      <c r="B50" s="33" t="s">
        <v>43</v>
      </c>
      <c r="C50" s="34" t="s">
        <v>14</v>
      </c>
      <c r="D50" s="35">
        <f t="shared" ref="D50:AG50" si="16">VLOOKUP($C50,emission_factors,COLUMN(D$48)-1,FALSE)*D11</f>
        <v>160117.7513639</v>
      </c>
      <c r="E50" s="35">
        <f t="shared" ca="1" si="16"/>
        <v>155149.54345169547</v>
      </c>
      <c r="F50" s="35">
        <f t="shared" ca="1" si="16"/>
        <v>169908.68807610686</v>
      </c>
      <c r="G50" s="35">
        <f t="shared" ca="1" si="16"/>
        <v>171599.17381342399</v>
      </c>
      <c r="H50" s="35">
        <f t="shared" ca="1" si="16"/>
        <v>172901.542166917</v>
      </c>
      <c r="I50" s="35">
        <f t="shared" ca="1" si="16"/>
        <v>173329.90707624931</v>
      </c>
      <c r="J50" s="35">
        <f t="shared" ca="1" si="16"/>
        <v>173369.00825186635</v>
      </c>
      <c r="K50" s="35">
        <f t="shared" ca="1" si="16"/>
        <v>173160.34481593684</v>
      </c>
      <c r="L50" s="35">
        <f t="shared" ca="1" si="16"/>
        <v>172737.96579614349</v>
      </c>
      <c r="M50" s="35">
        <f t="shared" ca="1" si="16"/>
        <v>172465.85444226759</v>
      </c>
      <c r="N50" s="35">
        <f t="shared" ca="1" si="16"/>
        <v>171193.66900158039</v>
      </c>
      <c r="O50" s="35">
        <f t="shared" ca="1" si="16"/>
        <v>170081.29032875612</v>
      </c>
      <c r="P50" s="35">
        <f t="shared" ca="1" si="16"/>
        <v>168946.90165048794</v>
      </c>
      <c r="Q50" s="35">
        <f t="shared" ca="1" si="16"/>
        <v>167936.16022459522</v>
      </c>
      <c r="R50" s="35">
        <f t="shared" ca="1" si="16"/>
        <v>167087.05309143625</v>
      </c>
      <c r="S50" s="35">
        <f t="shared" ca="1" si="16"/>
        <v>166278.99820988849</v>
      </c>
      <c r="T50" s="35">
        <f t="shared" ca="1" si="16"/>
        <v>165430.28123833239</v>
      </c>
      <c r="U50" s="35">
        <f t="shared" ca="1" si="16"/>
        <v>164580.51487611196</v>
      </c>
      <c r="V50" s="35">
        <f t="shared" ca="1" si="16"/>
        <v>163761.30942653419</v>
      </c>
      <c r="W50" s="35">
        <f t="shared" ca="1" si="16"/>
        <v>162992.62259679168</v>
      </c>
      <c r="X50" s="35">
        <f t="shared" ca="1" si="16"/>
        <v>162247.60519173334</v>
      </c>
      <c r="Y50" s="35">
        <f t="shared" ca="1" si="16"/>
        <v>161518.30053601781</v>
      </c>
      <c r="Z50" s="35">
        <f t="shared" ca="1" si="16"/>
        <v>160793.13969851774</v>
      </c>
      <c r="AA50" s="35">
        <f t="shared" ca="1" si="16"/>
        <v>160152.01182113864</v>
      </c>
      <c r="AB50" s="35">
        <f t="shared" ca="1" si="16"/>
        <v>159476.15715861213</v>
      </c>
      <c r="AC50" s="35">
        <f t="shared" ca="1" si="16"/>
        <v>158780.11907951545</v>
      </c>
      <c r="AD50" s="35">
        <f t="shared" ca="1" si="16"/>
        <v>158060.8835247448</v>
      </c>
      <c r="AE50" s="35">
        <f t="shared" ca="1" si="16"/>
        <v>157329.94874517407</v>
      </c>
      <c r="AF50" s="35">
        <f t="shared" ca="1" si="16"/>
        <v>156573.41428781018</v>
      </c>
      <c r="AG50" s="35">
        <f t="shared" ca="1" si="16"/>
        <v>155800.35711256476</v>
      </c>
      <c r="AH50" s="36">
        <f t="shared" ca="1" si="15"/>
        <v>-2.6963870117830253E-2</v>
      </c>
    </row>
    <row r="51" spans="1:34" ht="13.2">
      <c r="A51" s="32" t="s">
        <v>5</v>
      </c>
      <c r="B51" s="33" t="s">
        <v>45</v>
      </c>
      <c r="C51" s="34" t="s">
        <v>0</v>
      </c>
      <c r="D51" s="35">
        <f t="shared" ref="D51:AG51" si="17">VLOOKUP($C51,emission_factors,COLUMN(D$48)-1,FALSE)*D12/1000000</f>
        <v>250319.51764681845</v>
      </c>
      <c r="E51" s="35">
        <f t="shared" ca="1" si="17"/>
        <v>222529.74358688656</v>
      </c>
      <c r="F51" s="35">
        <f t="shared" ca="1" si="17"/>
        <v>199547.21401910376</v>
      </c>
      <c r="G51" s="35">
        <f t="shared" ca="1" si="17"/>
        <v>199533.44178405145</v>
      </c>
      <c r="H51" s="35">
        <f t="shared" ca="1" si="17"/>
        <v>210188.49861107842</v>
      </c>
      <c r="I51" s="35">
        <f t="shared" ca="1" si="17"/>
        <v>204077.01339864219</v>
      </c>
      <c r="J51" s="35">
        <f t="shared" ca="1" si="17"/>
        <v>198054.71500595735</v>
      </c>
      <c r="K51" s="35">
        <f t="shared" ca="1" si="17"/>
        <v>196359.99865686081</v>
      </c>
      <c r="L51" s="35">
        <f t="shared" ca="1" si="17"/>
        <v>201899.4455329288</v>
      </c>
      <c r="M51" s="35">
        <f t="shared" ca="1" si="17"/>
        <v>208075.52909992883</v>
      </c>
      <c r="N51" s="35">
        <f t="shared" ca="1" si="17"/>
        <v>211472.45343780139</v>
      </c>
      <c r="O51" s="35">
        <f t="shared" ca="1" si="17"/>
        <v>216042.59546732975</v>
      </c>
      <c r="P51" s="35">
        <f t="shared" ca="1" si="17"/>
        <v>219882.75263891686</v>
      </c>
      <c r="Q51" s="35">
        <f t="shared" ca="1" si="17"/>
        <v>223498.60994612743</v>
      </c>
      <c r="R51" s="35">
        <f t="shared" ca="1" si="17"/>
        <v>222807.68889600725</v>
      </c>
      <c r="S51" s="35">
        <f t="shared" ca="1" si="17"/>
        <v>221476.06915627423</v>
      </c>
      <c r="T51" s="35">
        <f t="shared" ca="1" si="17"/>
        <v>220120.37863377476</v>
      </c>
      <c r="U51" s="35">
        <f t="shared" ca="1" si="17"/>
        <v>217596.39491402401</v>
      </c>
      <c r="V51" s="35">
        <f t="shared" ca="1" si="17"/>
        <v>215621.86642467088</v>
      </c>
      <c r="W51" s="35">
        <f t="shared" ca="1" si="17"/>
        <v>213451.42735842112</v>
      </c>
      <c r="X51" s="35">
        <f t="shared" ca="1" si="17"/>
        <v>212253.43018135731</v>
      </c>
      <c r="Y51" s="35">
        <f t="shared" ca="1" si="17"/>
        <v>211164.44298272871</v>
      </c>
      <c r="Z51" s="35">
        <f t="shared" ca="1" si="17"/>
        <v>210842.18514554951</v>
      </c>
      <c r="AA51" s="35">
        <f t="shared" ca="1" si="17"/>
        <v>209845.65743700709</v>
      </c>
      <c r="AB51" s="35">
        <f t="shared" ca="1" si="17"/>
        <v>209946.65441960772</v>
      </c>
      <c r="AC51" s="35">
        <f t="shared" ca="1" si="17"/>
        <v>208688.03675843246</v>
      </c>
      <c r="AD51" s="35">
        <f t="shared" ca="1" si="17"/>
        <v>207914.2008637324</v>
      </c>
      <c r="AE51" s="35">
        <f t="shared" ca="1" si="17"/>
        <v>208190.40333421412</v>
      </c>
      <c r="AF51" s="35">
        <f t="shared" ca="1" si="17"/>
        <v>207147.49532965687</v>
      </c>
      <c r="AG51" s="35">
        <f t="shared" ca="1" si="17"/>
        <v>205891.12238424714</v>
      </c>
      <c r="AH51" s="36">
        <f t="shared" ca="1" si="15"/>
        <v>-0.17748674046766244</v>
      </c>
    </row>
    <row r="52" spans="1:34" ht="13.2">
      <c r="A52" s="32" t="s">
        <v>5</v>
      </c>
      <c r="B52" s="33" t="s">
        <v>45</v>
      </c>
      <c r="C52" s="34" t="s">
        <v>14</v>
      </c>
      <c r="D52" s="35">
        <f t="shared" ref="D52:AG52" si="18">VLOOKUP($C52,emission_factors,COLUMN(D$48)-1,FALSE)*D13</f>
        <v>114281.03147569239</v>
      </c>
      <c r="E52" s="35">
        <f t="shared" ca="1" si="18"/>
        <v>118614.80399601234</v>
      </c>
      <c r="F52" s="35">
        <f t="shared" ca="1" si="18"/>
        <v>117530.60767070339</v>
      </c>
      <c r="G52" s="35">
        <f t="shared" ca="1" si="18"/>
        <v>118496.66356853332</v>
      </c>
      <c r="H52" s="35">
        <f t="shared" ca="1" si="18"/>
        <v>119732.73259147666</v>
      </c>
      <c r="I52" s="35">
        <f t="shared" ca="1" si="18"/>
        <v>120492.15211473616</v>
      </c>
      <c r="J52" s="35">
        <f t="shared" ca="1" si="18"/>
        <v>121675.39675547088</v>
      </c>
      <c r="K52" s="35">
        <f t="shared" ca="1" si="18"/>
        <v>122354.03174619081</v>
      </c>
      <c r="L52" s="35">
        <f t="shared" ca="1" si="18"/>
        <v>122610.80148737977</v>
      </c>
      <c r="M52" s="35">
        <f t="shared" ca="1" si="18"/>
        <v>122948.30517784301</v>
      </c>
      <c r="N52" s="35">
        <f t="shared" ca="1" si="18"/>
        <v>122722.07059483709</v>
      </c>
      <c r="O52" s="35">
        <f t="shared" ca="1" si="18"/>
        <v>122661.92147887182</v>
      </c>
      <c r="P52" s="35">
        <f t="shared" ca="1" si="18"/>
        <v>122513.5147364118</v>
      </c>
      <c r="Q52" s="35">
        <f t="shared" ca="1" si="18"/>
        <v>122480.90144974423</v>
      </c>
      <c r="R52" s="35">
        <f t="shared" ca="1" si="18"/>
        <v>122596.04610245001</v>
      </c>
      <c r="S52" s="35">
        <f t="shared" ca="1" si="18"/>
        <v>122691.90393554246</v>
      </c>
      <c r="T52" s="35">
        <f t="shared" ca="1" si="18"/>
        <v>122659.99910835603</v>
      </c>
      <c r="U52" s="35">
        <f t="shared" ca="1" si="18"/>
        <v>122560.61362494995</v>
      </c>
      <c r="V52" s="35">
        <f t="shared" ca="1" si="18"/>
        <v>122440.83013076296</v>
      </c>
      <c r="W52" s="35">
        <f t="shared" ca="1" si="18"/>
        <v>122319.20524453452</v>
      </c>
      <c r="X52" s="35">
        <f t="shared" ca="1" si="18"/>
        <v>122224.8318145927</v>
      </c>
      <c r="Y52" s="35">
        <f t="shared" ca="1" si="18"/>
        <v>122149.71150683386</v>
      </c>
      <c r="Z52" s="35">
        <f t="shared" ca="1" si="18"/>
        <v>122069.36935054164</v>
      </c>
      <c r="AA52" s="35">
        <f t="shared" ca="1" si="18"/>
        <v>122064.26293361092</v>
      </c>
      <c r="AB52" s="35">
        <f t="shared" ca="1" si="18"/>
        <v>122033.42246152212</v>
      </c>
      <c r="AC52" s="35">
        <f t="shared" ca="1" si="18"/>
        <v>121968.96759119991</v>
      </c>
      <c r="AD52" s="35">
        <f t="shared" ca="1" si="18"/>
        <v>121870.27100369871</v>
      </c>
      <c r="AE52" s="35">
        <f t="shared" ca="1" si="18"/>
        <v>121758.44526814793</v>
      </c>
      <c r="AF52" s="35">
        <f t="shared" ca="1" si="18"/>
        <v>121612.42699559728</v>
      </c>
      <c r="AG52" s="35">
        <f t="shared" ca="1" si="18"/>
        <v>121442.12516272138</v>
      </c>
      <c r="AH52" s="36">
        <f t="shared" ca="1" si="15"/>
        <v>6.2662137316744068E-2</v>
      </c>
    </row>
    <row r="53" spans="1:34" ht="13.2">
      <c r="A53" s="32" t="s">
        <v>5</v>
      </c>
      <c r="B53" s="33" t="s">
        <v>48</v>
      </c>
      <c r="C53" s="34" t="s">
        <v>0</v>
      </c>
      <c r="D53" s="35">
        <f t="shared" ref="D53:AG53" si="19">VLOOKUP($C53,emission_factors,COLUMN(D$48)-1,FALSE)*D14/1000000</f>
        <v>133270.7962370787</v>
      </c>
      <c r="E53" s="35">
        <f t="shared" ca="1" si="19"/>
        <v>120868.57919579983</v>
      </c>
      <c r="F53" s="35">
        <f t="shared" ca="1" si="19"/>
        <v>110716.76084796488</v>
      </c>
      <c r="G53" s="35">
        <f t="shared" ca="1" si="19"/>
        <v>110878.07510579607</v>
      </c>
      <c r="H53" s="35">
        <f t="shared" ca="1" si="19"/>
        <v>117811.88070844545</v>
      </c>
      <c r="I53" s="35">
        <f t="shared" ca="1" si="19"/>
        <v>115784.07150096595</v>
      </c>
      <c r="J53" s="35">
        <f t="shared" ca="1" si="19"/>
        <v>112673.53238027926</v>
      </c>
      <c r="K53" s="35">
        <f t="shared" ca="1" si="19"/>
        <v>112006.4644597833</v>
      </c>
      <c r="L53" s="35">
        <f t="shared" ca="1" si="19"/>
        <v>115838.84534867552</v>
      </c>
      <c r="M53" s="35">
        <f t="shared" ca="1" si="19"/>
        <v>120048.72839559986</v>
      </c>
      <c r="N53" s="35">
        <f t="shared" ca="1" si="19"/>
        <v>122621.98557537315</v>
      </c>
      <c r="O53" s="35">
        <f t="shared" ca="1" si="19"/>
        <v>125845.01316208779</v>
      </c>
      <c r="P53" s="35">
        <f t="shared" ca="1" si="19"/>
        <v>128343.03604350366</v>
      </c>
      <c r="Q53" s="35">
        <f t="shared" ca="1" si="19"/>
        <v>130487.14692939696</v>
      </c>
      <c r="R53" s="35">
        <f t="shared" ca="1" si="19"/>
        <v>130132.6898813497</v>
      </c>
      <c r="S53" s="35">
        <f t="shared" ca="1" si="19"/>
        <v>129394.37405070402</v>
      </c>
      <c r="T53" s="35">
        <f t="shared" ca="1" si="19"/>
        <v>128882.45710463838</v>
      </c>
      <c r="U53" s="35">
        <f t="shared" ca="1" si="19"/>
        <v>127524.02807302565</v>
      </c>
      <c r="V53" s="35">
        <f t="shared" ca="1" si="19"/>
        <v>126438.54780877971</v>
      </c>
      <c r="W53" s="35">
        <f t="shared" ca="1" si="19"/>
        <v>125205.23482298752</v>
      </c>
      <c r="X53" s="35">
        <f t="shared" ca="1" si="19"/>
        <v>124663.64287298161</v>
      </c>
      <c r="Y53" s="35">
        <f t="shared" ca="1" si="19"/>
        <v>124233.7013688538</v>
      </c>
      <c r="Z53" s="35">
        <f t="shared" ca="1" si="19"/>
        <v>124067.26146611029</v>
      </c>
      <c r="AA53" s="35">
        <f t="shared" ca="1" si="19"/>
        <v>123319.79320155404</v>
      </c>
      <c r="AB53" s="35">
        <f t="shared" ca="1" si="19"/>
        <v>123222.77272131239</v>
      </c>
      <c r="AC53" s="35">
        <f t="shared" ca="1" si="19"/>
        <v>122495.98108678532</v>
      </c>
      <c r="AD53" s="35">
        <f t="shared" ca="1" si="19"/>
        <v>121658.51283535965</v>
      </c>
      <c r="AE53" s="35">
        <f t="shared" ca="1" si="19"/>
        <v>121261.42109134843</v>
      </c>
      <c r="AF53" s="35">
        <f t="shared" ca="1" si="19"/>
        <v>120227.84040181851</v>
      </c>
      <c r="AG53" s="35">
        <f t="shared" ca="1" si="19"/>
        <v>119474.40658137387</v>
      </c>
      <c r="AH53" s="36">
        <f t="shared" ca="1" si="15"/>
        <v>-0.10352147691203173</v>
      </c>
    </row>
    <row r="54" spans="1:34" ht="13.2">
      <c r="A54" s="32" t="s">
        <v>5</v>
      </c>
      <c r="B54" s="33" t="s">
        <v>48</v>
      </c>
      <c r="C54" s="34" t="s">
        <v>14</v>
      </c>
      <c r="D54" s="35">
        <f t="shared" ref="D54:AG54" si="20">VLOOKUP($C54,emission_factors,COLUMN(D$48)-1,FALSE)*D15</f>
        <v>28146.873288829895</v>
      </c>
      <c r="E54" s="35">
        <f t="shared" ca="1" si="20"/>
        <v>28904.889754154632</v>
      </c>
      <c r="F54" s="35">
        <f t="shared" ca="1" si="20"/>
        <v>30091.109377826724</v>
      </c>
      <c r="G54" s="35">
        <f t="shared" ca="1" si="20"/>
        <v>30277.270377395675</v>
      </c>
      <c r="H54" s="35">
        <f t="shared" ca="1" si="20"/>
        <v>30563.099803623263</v>
      </c>
      <c r="I54" s="35">
        <f t="shared" ca="1" si="20"/>
        <v>31015.40472908099</v>
      </c>
      <c r="J54" s="35">
        <f t="shared" ca="1" si="20"/>
        <v>31090.176619146114</v>
      </c>
      <c r="K54" s="35">
        <f t="shared" ca="1" si="20"/>
        <v>31183.817822541751</v>
      </c>
      <c r="L54" s="35">
        <f t="shared" ca="1" si="20"/>
        <v>31396.451808624919</v>
      </c>
      <c r="M54" s="35">
        <f t="shared" ca="1" si="20"/>
        <v>31628.183170272867</v>
      </c>
      <c r="N54" s="35">
        <f t="shared" ca="1" si="20"/>
        <v>31618.41875681105</v>
      </c>
      <c r="O54" s="35">
        <f t="shared" ca="1" si="20"/>
        <v>31720.493592901512</v>
      </c>
      <c r="P54" s="35">
        <f t="shared" ca="1" si="20"/>
        <v>31706.894167384315</v>
      </c>
      <c r="Q54" s="35">
        <f t="shared" ca="1" si="20"/>
        <v>31710.044849492318</v>
      </c>
      <c r="R54" s="35">
        <f t="shared" ca="1" si="20"/>
        <v>31818.064733856951</v>
      </c>
      <c r="S54" s="35">
        <f t="shared" ca="1" si="20"/>
        <v>31874.844554132782</v>
      </c>
      <c r="T54" s="35">
        <f t="shared" ca="1" si="20"/>
        <v>31976.794574791042</v>
      </c>
      <c r="U54" s="35">
        <f t="shared" ca="1" si="20"/>
        <v>32122.718793176689</v>
      </c>
      <c r="V54" s="35">
        <f t="shared" ca="1" si="20"/>
        <v>32219.809803190281</v>
      </c>
      <c r="W54" s="35">
        <f t="shared" ca="1" si="20"/>
        <v>32355.573028969855</v>
      </c>
      <c r="X54" s="35">
        <f t="shared" ca="1" si="20"/>
        <v>32571.099702202959</v>
      </c>
      <c r="Y54" s="35">
        <f t="shared" ca="1" si="20"/>
        <v>32863.825976760148</v>
      </c>
      <c r="Z54" s="35">
        <f t="shared" ca="1" si="20"/>
        <v>33201.154214106267</v>
      </c>
      <c r="AA54" s="35">
        <f t="shared" ca="1" si="20"/>
        <v>33368.871754507061</v>
      </c>
      <c r="AB54" s="35">
        <f t="shared" ca="1" si="20"/>
        <v>33732.123201706541</v>
      </c>
      <c r="AC54" s="35">
        <f t="shared" ca="1" si="20"/>
        <v>33973.198526451553</v>
      </c>
      <c r="AD54" s="35">
        <f t="shared" ca="1" si="20"/>
        <v>34097.376436933606</v>
      </c>
      <c r="AE54" s="35">
        <f t="shared" ca="1" si="20"/>
        <v>34287.080213313879</v>
      </c>
      <c r="AF54" s="35">
        <f t="shared" ca="1" si="20"/>
        <v>34488.414142143774</v>
      </c>
      <c r="AG54" s="35">
        <f t="shared" ca="1" si="20"/>
        <v>34853.297792238038</v>
      </c>
      <c r="AH54" s="36">
        <f t="shared" ca="1" si="15"/>
        <v>0.23826534601516794</v>
      </c>
    </row>
    <row r="55" spans="1:34" ht="13.2">
      <c r="A55" s="32" t="s">
        <v>5</v>
      </c>
      <c r="B55" s="33" t="s">
        <v>48</v>
      </c>
      <c r="C55" s="37" t="s">
        <v>72</v>
      </c>
      <c r="D55" s="35">
        <f ca="1">IFERROR(__xludf.DUMMYFUNCTION("sum(importrange(""https://docs.google.com/spreadsheets/d/1xsqsPLhBO7fHAdQrQL6i9xl_YzbUswo2xD1VyzEhqBE"",""Additional Emission QA!G8:I11""))"),514064.041107382)</f>
        <v>514064.04110738199</v>
      </c>
      <c r="E55" s="35">
        <f t="shared" ref="E55:AG55" ca="1" si="21">D55</f>
        <v>514064.04110738199</v>
      </c>
      <c r="F55" s="35">
        <f t="shared" ca="1" si="21"/>
        <v>514064.04110738199</v>
      </c>
      <c r="G55" s="35">
        <f t="shared" ca="1" si="21"/>
        <v>514064.04110738199</v>
      </c>
      <c r="H55" s="35">
        <f t="shared" ca="1" si="21"/>
        <v>514064.04110738199</v>
      </c>
      <c r="I55" s="35">
        <f t="shared" ca="1" si="21"/>
        <v>514064.04110738199</v>
      </c>
      <c r="J55" s="35">
        <f t="shared" ca="1" si="21"/>
        <v>514064.04110738199</v>
      </c>
      <c r="K55" s="35">
        <f t="shared" ca="1" si="21"/>
        <v>514064.04110738199</v>
      </c>
      <c r="L55" s="35">
        <f t="shared" ca="1" si="21"/>
        <v>514064.04110738199</v>
      </c>
      <c r="M55" s="35">
        <f t="shared" ca="1" si="21"/>
        <v>514064.04110738199</v>
      </c>
      <c r="N55" s="35">
        <f t="shared" ca="1" si="21"/>
        <v>514064.04110738199</v>
      </c>
      <c r="O55" s="35">
        <f t="shared" ca="1" si="21"/>
        <v>514064.04110738199</v>
      </c>
      <c r="P55" s="35">
        <f t="shared" ca="1" si="21"/>
        <v>514064.04110738199</v>
      </c>
      <c r="Q55" s="35">
        <f t="shared" ca="1" si="21"/>
        <v>514064.04110738199</v>
      </c>
      <c r="R55" s="35">
        <f t="shared" ca="1" si="21"/>
        <v>514064.04110738199</v>
      </c>
      <c r="S55" s="35">
        <f t="shared" ca="1" si="21"/>
        <v>514064.04110738199</v>
      </c>
      <c r="T55" s="35">
        <f t="shared" ca="1" si="21"/>
        <v>514064.04110738199</v>
      </c>
      <c r="U55" s="35">
        <f t="shared" ca="1" si="21"/>
        <v>514064.04110738199</v>
      </c>
      <c r="V55" s="35">
        <f t="shared" ca="1" si="21"/>
        <v>514064.04110738199</v>
      </c>
      <c r="W55" s="35">
        <f t="shared" ca="1" si="21"/>
        <v>514064.04110738199</v>
      </c>
      <c r="X55" s="35">
        <f t="shared" ca="1" si="21"/>
        <v>514064.04110738199</v>
      </c>
      <c r="Y55" s="35">
        <f t="shared" ca="1" si="21"/>
        <v>514064.04110738199</v>
      </c>
      <c r="Z55" s="35">
        <f t="shared" ca="1" si="21"/>
        <v>514064.04110738199</v>
      </c>
      <c r="AA55" s="35">
        <f t="shared" ca="1" si="21"/>
        <v>514064.04110738199</v>
      </c>
      <c r="AB55" s="35">
        <f t="shared" ca="1" si="21"/>
        <v>514064.04110738199</v>
      </c>
      <c r="AC55" s="35">
        <f t="shared" ca="1" si="21"/>
        <v>514064.04110738199</v>
      </c>
      <c r="AD55" s="35">
        <f t="shared" ca="1" si="21"/>
        <v>514064.04110738199</v>
      </c>
      <c r="AE55" s="35">
        <f t="shared" ca="1" si="21"/>
        <v>514064.04110738199</v>
      </c>
      <c r="AF55" s="35">
        <f t="shared" ca="1" si="21"/>
        <v>514064.04110738199</v>
      </c>
      <c r="AG55" s="35">
        <f t="shared" ca="1" si="21"/>
        <v>514064.04110738199</v>
      </c>
      <c r="AH55" s="36">
        <f t="shared" ca="1" si="15"/>
        <v>0</v>
      </c>
    </row>
    <row r="56" spans="1:34" ht="13.2">
      <c r="A56" s="32" t="s">
        <v>5</v>
      </c>
      <c r="B56" s="38" t="s">
        <v>73</v>
      </c>
      <c r="C56" s="37" t="s">
        <v>72</v>
      </c>
      <c r="D56" s="35">
        <v>0</v>
      </c>
      <c r="E56" s="35">
        <f t="shared" ref="E56:AG56" si="22">D56</f>
        <v>0</v>
      </c>
      <c r="F56" s="35">
        <f t="shared" si="22"/>
        <v>0</v>
      </c>
      <c r="G56" s="35">
        <f t="shared" si="22"/>
        <v>0</v>
      </c>
      <c r="H56" s="35">
        <f t="shared" si="22"/>
        <v>0</v>
      </c>
      <c r="I56" s="35">
        <f t="shared" si="22"/>
        <v>0</v>
      </c>
      <c r="J56" s="35">
        <f t="shared" si="22"/>
        <v>0</v>
      </c>
      <c r="K56" s="35">
        <f t="shared" si="22"/>
        <v>0</v>
      </c>
      <c r="L56" s="35">
        <f t="shared" si="22"/>
        <v>0</v>
      </c>
      <c r="M56" s="35">
        <f t="shared" si="22"/>
        <v>0</v>
      </c>
      <c r="N56" s="35">
        <f t="shared" si="22"/>
        <v>0</v>
      </c>
      <c r="O56" s="35">
        <f t="shared" si="22"/>
        <v>0</v>
      </c>
      <c r="P56" s="35">
        <f t="shared" si="22"/>
        <v>0</v>
      </c>
      <c r="Q56" s="35">
        <f t="shared" si="22"/>
        <v>0</v>
      </c>
      <c r="R56" s="35">
        <f t="shared" si="22"/>
        <v>0</v>
      </c>
      <c r="S56" s="35">
        <f t="shared" si="22"/>
        <v>0</v>
      </c>
      <c r="T56" s="35">
        <f t="shared" si="22"/>
        <v>0</v>
      </c>
      <c r="U56" s="35">
        <f t="shared" si="22"/>
        <v>0</v>
      </c>
      <c r="V56" s="35">
        <f t="shared" si="22"/>
        <v>0</v>
      </c>
      <c r="W56" s="35">
        <f t="shared" si="22"/>
        <v>0</v>
      </c>
      <c r="X56" s="35">
        <f t="shared" si="22"/>
        <v>0</v>
      </c>
      <c r="Y56" s="35">
        <f t="shared" si="22"/>
        <v>0</v>
      </c>
      <c r="Z56" s="35">
        <f t="shared" si="22"/>
        <v>0</v>
      </c>
      <c r="AA56" s="35">
        <f t="shared" si="22"/>
        <v>0</v>
      </c>
      <c r="AB56" s="35">
        <f t="shared" si="22"/>
        <v>0</v>
      </c>
      <c r="AC56" s="35">
        <f t="shared" si="22"/>
        <v>0</v>
      </c>
      <c r="AD56" s="35">
        <f t="shared" si="22"/>
        <v>0</v>
      </c>
      <c r="AE56" s="35">
        <f t="shared" si="22"/>
        <v>0</v>
      </c>
      <c r="AF56" s="35">
        <f t="shared" si="22"/>
        <v>0</v>
      </c>
      <c r="AG56" s="35">
        <f t="shared" si="22"/>
        <v>0</v>
      </c>
      <c r="AH56" s="36"/>
    </row>
    <row r="57" spans="1:34" ht="13.2">
      <c r="A57" s="32" t="s">
        <v>5</v>
      </c>
      <c r="B57" s="33" t="s">
        <v>50</v>
      </c>
      <c r="C57" s="37" t="s">
        <v>0</v>
      </c>
      <c r="D57" s="35">
        <f t="shared" ref="D57:AG57" si="23">VLOOKUP($C57,emission_factors,COLUMN(D$48)-1,FALSE)*D16/1000000</f>
        <v>0</v>
      </c>
      <c r="E57" s="35">
        <f t="shared" ca="1" si="23"/>
        <v>621.09751396494153</v>
      </c>
      <c r="F57" s="35">
        <f t="shared" ca="1" si="23"/>
        <v>726.32607295087871</v>
      </c>
      <c r="G57" s="35">
        <f t="shared" ca="1" si="23"/>
        <v>916.52904356580257</v>
      </c>
      <c r="H57" s="35">
        <f t="shared" ca="1" si="23"/>
        <v>1178.4313449998212</v>
      </c>
      <c r="I57" s="35">
        <f t="shared" ca="1" si="23"/>
        <v>1367.2711925790461</v>
      </c>
      <c r="J57" s="35">
        <f t="shared" ca="1" si="23"/>
        <v>1543.2087412340097</v>
      </c>
      <c r="K57" s="35">
        <f t="shared" ca="1" si="23"/>
        <v>1743.5160472306748</v>
      </c>
      <c r="L57" s="35">
        <f t="shared" ca="1" si="23"/>
        <v>2013.189593853853</v>
      </c>
      <c r="M57" s="35">
        <f t="shared" ca="1" si="23"/>
        <v>2311.6569139597455</v>
      </c>
      <c r="N57" s="35">
        <f t="shared" ca="1" si="23"/>
        <v>2587.4719420025572</v>
      </c>
      <c r="O57" s="35">
        <f t="shared" ca="1" si="23"/>
        <v>2879.5661754566381</v>
      </c>
      <c r="P57" s="35">
        <f t="shared" ca="1" si="23"/>
        <v>3167.2238266103436</v>
      </c>
      <c r="Q57" s="35">
        <f t="shared" ca="1" si="23"/>
        <v>3455.5436487697912</v>
      </c>
      <c r="R57" s="35">
        <f t="shared" ca="1" si="23"/>
        <v>3674.1942103240835</v>
      </c>
      <c r="S57" s="35">
        <f t="shared" ca="1" si="23"/>
        <v>3878.3570199505102</v>
      </c>
      <c r="T57" s="35">
        <f t="shared" ca="1" si="23"/>
        <v>4077.5093261189122</v>
      </c>
      <c r="U57" s="35">
        <f t="shared" ca="1" si="23"/>
        <v>4248.3871762000035</v>
      </c>
      <c r="V57" s="35">
        <f t="shared" ca="1" si="23"/>
        <v>4426.1518383495513</v>
      </c>
      <c r="W57" s="35">
        <f t="shared" ca="1" si="23"/>
        <v>4598.0711641835178</v>
      </c>
      <c r="X57" s="35">
        <f t="shared" ca="1" si="23"/>
        <v>4777.1120030616885</v>
      </c>
      <c r="Y57" s="35">
        <f t="shared" ca="1" si="23"/>
        <v>4947.5706896825286</v>
      </c>
      <c r="Z57" s="35">
        <f t="shared" ca="1" si="23"/>
        <v>5131.1511545171206</v>
      </c>
      <c r="AA57" s="35">
        <f t="shared" ca="1" si="23"/>
        <v>5297.5778187108126</v>
      </c>
      <c r="AB57" s="35">
        <f t="shared" ca="1" si="23"/>
        <v>5480.8830317963975</v>
      </c>
      <c r="AC57" s="35">
        <f t="shared" ca="1" si="23"/>
        <v>5631.314101975222</v>
      </c>
      <c r="AD57" s="35">
        <f t="shared" ca="1" si="23"/>
        <v>5783.3234003988464</v>
      </c>
      <c r="AE57" s="35">
        <f t="shared" ca="1" si="23"/>
        <v>5959.012387174098</v>
      </c>
      <c r="AF57" s="35">
        <f t="shared" ca="1" si="23"/>
        <v>6089.5820839889375</v>
      </c>
      <c r="AG57" s="35">
        <f t="shared" si="23"/>
        <v>6210.2411904169576</v>
      </c>
      <c r="AH57" s="36" t="e">
        <f t="shared" ref="AH57:AH59" si="24">(AG57-D57)/D57</f>
        <v>#DIV/0!</v>
      </c>
    </row>
    <row r="58" spans="1:34" ht="13.2">
      <c r="A58" s="32" t="s">
        <v>5</v>
      </c>
      <c r="B58" s="33" t="s">
        <v>50</v>
      </c>
      <c r="C58" s="34" t="s">
        <v>46</v>
      </c>
      <c r="D58" s="35">
        <f t="shared" ref="D58:AG58" ca="1" si="25">VLOOKUP($C58,emission_factors,COLUMN(D$48)-1,FALSE)*D17</f>
        <v>524179.27279363218</v>
      </c>
      <c r="E58" s="35">
        <f t="shared" ca="1" si="25"/>
        <v>542202.55994000332</v>
      </c>
      <c r="F58" s="35">
        <f t="shared" ca="1" si="25"/>
        <v>555067.30116727599</v>
      </c>
      <c r="G58" s="35">
        <f t="shared" ca="1" si="25"/>
        <v>556110.40091856907</v>
      </c>
      <c r="H58" s="35">
        <f t="shared" ca="1" si="25"/>
        <v>556426.53342162992</v>
      </c>
      <c r="I58" s="35">
        <f t="shared" ca="1" si="25"/>
        <v>555397.8171169617</v>
      </c>
      <c r="J58" s="35">
        <f t="shared" ca="1" si="25"/>
        <v>553389.60414358845</v>
      </c>
      <c r="K58" s="35">
        <f t="shared" ca="1" si="25"/>
        <v>550989.49072112329</v>
      </c>
      <c r="L58" s="35">
        <f t="shared" ca="1" si="25"/>
        <v>549083.1086490046</v>
      </c>
      <c r="M58" s="35">
        <f t="shared" ca="1" si="25"/>
        <v>547785.60881171795</v>
      </c>
      <c r="N58" s="35">
        <f t="shared" ca="1" si="25"/>
        <v>543413.35111025989</v>
      </c>
      <c r="O58" s="35">
        <f t="shared" ca="1" si="25"/>
        <v>538799.05221926852</v>
      </c>
      <c r="P58" s="35">
        <f t="shared" ca="1" si="25"/>
        <v>535191.92028355866</v>
      </c>
      <c r="Q58" s="35">
        <f t="shared" ca="1" si="25"/>
        <v>531810.17529189936</v>
      </c>
      <c r="R58" s="35">
        <f t="shared" ca="1" si="25"/>
        <v>528370.94920000387</v>
      </c>
      <c r="S58" s="35">
        <f t="shared" ca="1" si="25"/>
        <v>525331.64149461256</v>
      </c>
      <c r="T58" s="35">
        <f t="shared" ca="1" si="25"/>
        <v>522951.56657633639</v>
      </c>
      <c r="U58" s="35">
        <f t="shared" ca="1" si="25"/>
        <v>520845.81441747944</v>
      </c>
      <c r="V58" s="35">
        <f t="shared" ca="1" si="25"/>
        <v>519260.08107826865</v>
      </c>
      <c r="W58" s="35">
        <f t="shared" ca="1" si="25"/>
        <v>518014.66369239567</v>
      </c>
      <c r="X58" s="35">
        <f t="shared" ca="1" si="25"/>
        <v>516985.15270150418</v>
      </c>
      <c r="Y58" s="35">
        <f t="shared" ca="1" si="25"/>
        <v>516242.99445419287</v>
      </c>
      <c r="Z58" s="35">
        <f t="shared" ca="1" si="25"/>
        <v>515664.38266556931</v>
      </c>
      <c r="AA58" s="35">
        <f t="shared" ca="1" si="25"/>
        <v>515409.56876412366</v>
      </c>
      <c r="AB58" s="35">
        <f t="shared" ca="1" si="25"/>
        <v>515513.38664896105</v>
      </c>
      <c r="AC58" s="35">
        <f t="shared" ca="1" si="25"/>
        <v>516118.74259079766</v>
      </c>
      <c r="AD58" s="35">
        <f t="shared" ca="1" si="25"/>
        <v>516688.18721685256</v>
      </c>
      <c r="AE58" s="35">
        <f t="shared" ca="1" si="25"/>
        <v>517298.15918843512</v>
      </c>
      <c r="AF58" s="35">
        <f t="shared" ca="1" si="25"/>
        <v>518358.67780642532</v>
      </c>
      <c r="AG58" s="35">
        <f t="shared" ca="1" si="25"/>
        <v>519941.25171326374</v>
      </c>
      <c r="AH58" s="36">
        <f t="shared" ca="1" si="24"/>
        <v>-8.0850603988626753E-3</v>
      </c>
    </row>
    <row r="59" spans="1:34" ht="13.2">
      <c r="A59" s="32" t="s">
        <v>5</v>
      </c>
      <c r="B59" s="33" t="s">
        <v>50</v>
      </c>
      <c r="C59" s="34" t="s">
        <v>51</v>
      </c>
      <c r="D59" s="35">
        <f t="shared" ref="D59:AG59" si="26">VLOOKUP($C59,emission_factors,COLUMN(D$48)-1,FALSE)*D18</f>
        <v>131768.59748188418</v>
      </c>
      <c r="E59" s="35">
        <f t="shared" ca="1" si="26"/>
        <v>133469.85806970971</v>
      </c>
      <c r="F59" s="35">
        <f t="shared" ca="1" si="26"/>
        <v>135675.29309677877</v>
      </c>
      <c r="G59" s="35">
        <f t="shared" ca="1" si="26"/>
        <v>135231.56683349115</v>
      </c>
      <c r="H59" s="35">
        <f t="shared" ca="1" si="26"/>
        <v>135366.87299672965</v>
      </c>
      <c r="I59" s="35">
        <f t="shared" ca="1" si="26"/>
        <v>135162.45320320746</v>
      </c>
      <c r="J59" s="35">
        <f t="shared" ca="1" si="26"/>
        <v>134443.77490626235</v>
      </c>
      <c r="K59" s="35">
        <f t="shared" ca="1" si="26"/>
        <v>133684.28361877557</v>
      </c>
      <c r="L59" s="35">
        <f t="shared" ca="1" si="26"/>
        <v>132829.13959937706</v>
      </c>
      <c r="M59" s="35">
        <f t="shared" ca="1" si="26"/>
        <v>131962.9697370072</v>
      </c>
      <c r="N59" s="35">
        <f t="shared" ca="1" si="26"/>
        <v>130023.81295953185</v>
      </c>
      <c r="O59" s="35">
        <f t="shared" ca="1" si="26"/>
        <v>128372.6374279314</v>
      </c>
      <c r="P59" s="35">
        <f t="shared" ca="1" si="26"/>
        <v>126894.61486162027</v>
      </c>
      <c r="Q59" s="35">
        <f t="shared" ca="1" si="26"/>
        <v>125342.53160711049</v>
      </c>
      <c r="R59" s="35">
        <f t="shared" ca="1" si="26"/>
        <v>123972.30639535357</v>
      </c>
      <c r="S59" s="35">
        <f t="shared" ca="1" si="26"/>
        <v>122647.20002962675</v>
      </c>
      <c r="T59" s="35">
        <f t="shared" ca="1" si="26"/>
        <v>121639.29904853225</v>
      </c>
      <c r="U59" s="35">
        <f t="shared" ca="1" si="26"/>
        <v>120753.3158464193</v>
      </c>
      <c r="V59" s="35">
        <f t="shared" ca="1" si="26"/>
        <v>119801.95750545697</v>
      </c>
      <c r="W59" s="35">
        <f t="shared" ca="1" si="26"/>
        <v>119005.07087967559</v>
      </c>
      <c r="X59" s="35">
        <f t="shared" ca="1" si="26"/>
        <v>118265.75539843467</v>
      </c>
      <c r="Y59" s="35">
        <f t="shared" ca="1" si="26"/>
        <v>117786.69764457941</v>
      </c>
      <c r="Z59" s="35">
        <f t="shared" ca="1" si="26"/>
        <v>117346.08600527541</v>
      </c>
      <c r="AA59" s="35">
        <f t="shared" ca="1" si="26"/>
        <v>116820.64003503374</v>
      </c>
      <c r="AB59" s="35">
        <f t="shared" ca="1" si="26"/>
        <v>116274.05014914152</v>
      </c>
      <c r="AC59" s="35">
        <f t="shared" ca="1" si="26"/>
        <v>115844.89480117189</v>
      </c>
      <c r="AD59" s="35">
        <f t="shared" ca="1" si="26"/>
        <v>115228.45668277622</v>
      </c>
      <c r="AE59" s="35">
        <f t="shared" ca="1" si="26"/>
        <v>114439.95585195195</v>
      </c>
      <c r="AF59" s="35">
        <f t="shared" ca="1" si="26"/>
        <v>113883.39835298377</v>
      </c>
      <c r="AG59" s="35">
        <f t="shared" ca="1" si="26"/>
        <v>113568.84008965017</v>
      </c>
      <c r="AH59" s="36">
        <f t="shared" ca="1" si="24"/>
        <v>-0.13811907950781785</v>
      </c>
    </row>
    <row r="60" spans="1:34" ht="13.2">
      <c r="A60" s="32" t="s">
        <v>5</v>
      </c>
      <c r="B60" s="39" t="s">
        <v>74</v>
      </c>
      <c r="C60" s="37" t="s">
        <v>75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6"/>
    </row>
    <row r="61" spans="1:34" ht="13.2">
      <c r="A61" s="32" t="s">
        <v>5</v>
      </c>
      <c r="B61" s="39" t="s">
        <v>76</v>
      </c>
      <c r="C61" s="37" t="s">
        <v>75</v>
      </c>
      <c r="D61" s="35" t="e">
        <v>#REF!</v>
      </c>
      <c r="E61" s="35" t="e">
        <v>#REF!</v>
      </c>
      <c r="F61" s="35" t="e">
        <v>#REF!</v>
      </c>
      <c r="G61" s="35" t="e">
        <v>#REF!</v>
      </c>
      <c r="H61" s="35" t="e">
        <v>#REF!</v>
      </c>
      <c r="I61" s="35" t="e">
        <v>#REF!</v>
      </c>
      <c r="J61" s="35" t="e">
        <v>#REF!</v>
      </c>
      <c r="K61" s="35" t="e">
        <v>#REF!</v>
      </c>
      <c r="L61" s="35" t="e">
        <v>#REF!</v>
      </c>
      <c r="M61" s="35" t="e">
        <v>#REF!</v>
      </c>
      <c r="N61" s="35" t="e">
        <v>#REF!</v>
      </c>
      <c r="O61" s="35" t="e">
        <v>#REF!</v>
      </c>
      <c r="P61" s="35" t="e">
        <v>#REF!</v>
      </c>
      <c r="Q61" s="35" t="e">
        <v>#REF!</v>
      </c>
      <c r="R61" s="35" t="e">
        <v>#REF!</v>
      </c>
      <c r="S61" s="35" t="e">
        <v>#REF!</v>
      </c>
      <c r="T61" s="35" t="e">
        <v>#REF!</v>
      </c>
      <c r="U61" s="35" t="e">
        <v>#REF!</v>
      </c>
      <c r="V61" s="35" t="e">
        <v>#REF!</v>
      </c>
      <c r="W61" s="35" t="e">
        <v>#REF!</v>
      </c>
      <c r="X61" s="35" t="e">
        <v>#REF!</v>
      </c>
      <c r="Y61" s="35" t="e">
        <v>#REF!</v>
      </c>
      <c r="Z61" s="35" t="e">
        <v>#REF!</v>
      </c>
      <c r="AA61" s="35" t="e">
        <v>#REF!</v>
      </c>
      <c r="AB61" s="35" t="e">
        <v>#REF!</v>
      </c>
      <c r="AC61" s="35" t="e">
        <v>#REF!</v>
      </c>
      <c r="AD61" s="35" t="e">
        <v>#REF!</v>
      </c>
      <c r="AE61" s="35" t="e">
        <v>#REF!</v>
      </c>
      <c r="AF61" s="35" t="e">
        <v>#REF!</v>
      </c>
      <c r="AG61" s="35" t="e">
        <v>#REF!</v>
      </c>
      <c r="AH61" s="36" t="e">
        <f t="shared" ref="AH61:AH69" si="27">(AG61-D61)/D61</f>
        <v>#REF!</v>
      </c>
    </row>
    <row r="62" spans="1:34" ht="13.2">
      <c r="A62" s="32" t="s">
        <v>5</v>
      </c>
      <c r="B62" s="39" t="s">
        <v>77</v>
      </c>
      <c r="C62" s="37" t="s">
        <v>75</v>
      </c>
      <c r="D62" s="35" t="str">
        <f ca="1">IFERROR(__xludf.DUMMYFUNCTION("Projections!D$33*importrange(""https://docs.google.com/spreadsheets/d/1xsqsPLhBO7fHAdQrQL6i9xl_YzbUswo2xD1VyzEhqBE"",""Agriculture DataSheet!J24"")/importrange(""https://docs.google.com/spreadsheets/d/1xsqsPLhBO7fHAdQrQL6i9xl_YzbUswo2xD1VyzEhqBE"",""Agric"&amp;"ulture DataSheet!J27"")"),"#REF!")</f>
        <v>#REF!</v>
      </c>
      <c r="E62" s="35" t="str">
        <f t="shared" ref="E62:AG62" ca="1" si="28">D62</f>
        <v>#REF!</v>
      </c>
      <c r="F62" s="35" t="str">
        <f t="shared" ca="1" si="28"/>
        <v>#REF!</v>
      </c>
      <c r="G62" s="35" t="str">
        <f t="shared" ca="1" si="28"/>
        <v>#REF!</v>
      </c>
      <c r="H62" s="35" t="str">
        <f t="shared" ca="1" si="28"/>
        <v>#REF!</v>
      </c>
      <c r="I62" s="35" t="str">
        <f t="shared" ca="1" si="28"/>
        <v>#REF!</v>
      </c>
      <c r="J62" s="35" t="str">
        <f t="shared" ca="1" si="28"/>
        <v>#REF!</v>
      </c>
      <c r="K62" s="35" t="str">
        <f t="shared" ca="1" si="28"/>
        <v>#REF!</v>
      </c>
      <c r="L62" s="35" t="str">
        <f t="shared" ca="1" si="28"/>
        <v>#REF!</v>
      </c>
      <c r="M62" s="35" t="str">
        <f t="shared" ca="1" si="28"/>
        <v>#REF!</v>
      </c>
      <c r="N62" s="35" t="str">
        <f t="shared" ca="1" si="28"/>
        <v>#REF!</v>
      </c>
      <c r="O62" s="35" t="str">
        <f t="shared" ca="1" si="28"/>
        <v>#REF!</v>
      </c>
      <c r="P62" s="35" t="str">
        <f t="shared" ca="1" si="28"/>
        <v>#REF!</v>
      </c>
      <c r="Q62" s="35" t="str">
        <f t="shared" ca="1" si="28"/>
        <v>#REF!</v>
      </c>
      <c r="R62" s="35" t="str">
        <f t="shared" ca="1" si="28"/>
        <v>#REF!</v>
      </c>
      <c r="S62" s="35" t="str">
        <f t="shared" ca="1" si="28"/>
        <v>#REF!</v>
      </c>
      <c r="T62" s="35" t="str">
        <f t="shared" ca="1" si="28"/>
        <v>#REF!</v>
      </c>
      <c r="U62" s="35" t="str">
        <f t="shared" ca="1" si="28"/>
        <v>#REF!</v>
      </c>
      <c r="V62" s="35" t="str">
        <f t="shared" ca="1" si="28"/>
        <v>#REF!</v>
      </c>
      <c r="W62" s="35" t="str">
        <f t="shared" ca="1" si="28"/>
        <v>#REF!</v>
      </c>
      <c r="X62" s="35" t="str">
        <f t="shared" ca="1" si="28"/>
        <v>#REF!</v>
      </c>
      <c r="Y62" s="35" t="str">
        <f t="shared" ca="1" si="28"/>
        <v>#REF!</v>
      </c>
      <c r="Z62" s="35" t="str">
        <f t="shared" ca="1" si="28"/>
        <v>#REF!</v>
      </c>
      <c r="AA62" s="35" t="str">
        <f t="shared" ca="1" si="28"/>
        <v>#REF!</v>
      </c>
      <c r="AB62" s="35" t="str">
        <f t="shared" ca="1" si="28"/>
        <v>#REF!</v>
      </c>
      <c r="AC62" s="35" t="str">
        <f t="shared" ca="1" si="28"/>
        <v>#REF!</v>
      </c>
      <c r="AD62" s="35" t="str">
        <f t="shared" ca="1" si="28"/>
        <v>#REF!</v>
      </c>
      <c r="AE62" s="35" t="str">
        <f t="shared" ca="1" si="28"/>
        <v>#REF!</v>
      </c>
      <c r="AF62" s="35" t="str">
        <f t="shared" ca="1" si="28"/>
        <v>#REF!</v>
      </c>
      <c r="AG62" s="35" t="str">
        <f t="shared" ca="1" si="28"/>
        <v>#REF!</v>
      </c>
      <c r="AH62" s="36" t="e">
        <f t="shared" ca="1" si="27"/>
        <v>#VALUE!</v>
      </c>
    </row>
    <row r="63" spans="1:34" ht="13.2">
      <c r="A63" s="32" t="s">
        <v>5</v>
      </c>
      <c r="B63" s="39" t="s">
        <v>78</v>
      </c>
      <c r="C63" s="37" t="s">
        <v>75</v>
      </c>
      <c r="D63" s="35" t="str">
        <f ca="1">IFERROR(__xludf.DUMMYFUNCTION("Projections!$D$34*IMPORTRANGE(""https://docs.google.com/spreadsheets/d/1xsqsPLhBO7fHAdQrQL6i9xl_YzbUswo2xD1VyzEhqBE"",""Urban Forestry DataSheet!C28"")/IMPORTRANGE(""https://docs.google.com/spreadsheets/d/1xsqsPLhBO7fHAdQrQL6i9xl_YzbUswo2xD1VyzEhqBE"",""U"&amp;"rban Forestry DataSheet!C31"")"),"#REF!")</f>
        <v>#REF!</v>
      </c>
      <c r="E63" s="35" t="str">
        <f t="shared" ref="E63:AG63" ca="1" si="29">D63</f>
        <v>#REF!</v>
      </c>
      <c r="F63" s="35" t="str">
        <f t="shared" ca="1" si="29"/>
        <v>#REF!</v>
      </c>
      <c r="G63" s="35" t="str">
        <f t="shared" ca="1" si="29"/>
        <v>#REF!</v>
      </c>
      <c r="H63" s="35" t="str">
        <f t="shared" ca="1" si="29"/>
        <v>#REF!</v>
      </c>
      <c r="I63" s="35" t="str">
        <f t="shared" ca="1" si="29"/>
        <v>#REF!</v>
      </c>
      <c r="J63" s="35" t="str">
        <f t="shared" ca="1" si="29"/>
        <v>#REF!</v>
      </c>
      <c r="K63" s="35" t="str">
        <f t="shared" ca="1" si="29"/>
        <v>#REF!</v>
      </c>
      <c r="L63" s="35" t="str">
        <f t="shared" ca="1" si="29"/>
        <v>#REF!</v>
      </c>
      <c r="M63" s="35" t="str">
        <f t="shared" ca="1" si="29"/>
        <v>#REF!</v>
      </c>
      <c r="N63" s="35" t="str">
        <f t="shared" ca="1" si="29"/>
        <v>#REF!</v>
      </c>
      <c r="O63" s="35" t="str">
        <f t="shared" ca="1" si="29"/>
        <v>#REF!</v>
      </c>
      <c r="P63" s="35" t="str">
        <f t="shared" ca="1" si="29"/>
        <v>#REF!</v>
      </c>
      <c r="Q63" s="35" t="str">
        <f t="shared" ca="1" si="29"/>
        <v>#REF!</v>
      </c>
      <c r="R63" s="35" t="str">
        <f t="shared" ca="1" si="29"/>
        <v>#REF!</v>
      </c>
      <c r="S63" s="35" t="str">
        <f t="shared" ca="1" si="29"/>
        <v>#REF!</v>
      </c>
      <c r="T63" s="35" t="str">
        <f t="shared" ca="1" si="29"/>
        <v>#REF!</v>
      </c>
      <c r="U63" s="35" t="str">
        <f t="shared" ca="1" si="29"/>
        <v>#REF!</v>
      </c>
      <c r="V63" s="35" t="str">
        <f t="shared" ca="1" si="29"/>
        <v>#REF!</v>
      </c>
      <c r="W63" s="35" t="str">
        <f t="shared" ca="1" si="29"/>
        <v>#REF!</v>
      </c>
      <c r="X63" s="35" t="str">
        <f t="shared" ca="1" si="29"/>
        <v>#REF!</v>
      </c>
      <c r="Y63" s="35" t="str">
        <f t="shared" ca="1" si="29"/>
        <v>#REF!</v>
      </c>
      <c r="Z63" s="35" t="str">
        <f t="shared" ca="1" si="29"/>
        <v>#REF!</v>
      </c>
      <c r="AA63" s="35" t="str">
        <f t="shared" ca="1" si="29"/>
        <v>#REF!</v>
      </c>
      <c r="AB63" s="35" t="str">
        <f t="shared" ca="1" si="29"/>
        <v>#REF!</v>
      </c>
      <c r="AC63" s="35" t="str">
        <f t="shared" ca="1" si="29"/>
        <v>#REF!</v>
      </c>
      <c r="AD63" s="35" t="str">
        <f t="shared" ca="1" si="29"/>
        <v>#REF!</v>
      </c>
      <c r="AE63" s="35" t="str">
        <f t="shared" ca="1" si="29"/>
        <v>#REF!</v>
      </c>
      <c r="AF63" s="35" t="str">
        <f t="shared" ca="1" si="29"/>
        <v>#REF!</v>
      </c>
      <c r="AG63" s="35" t="str">
        <f t="shared" ca="1" si="29"/>
        <v>#REF!</v>
      </c>
      <c r="AH63" s="36" t="e">
        <f t="shared" ca="1" si="27"/>
        <v>#VALUE!</v>
      </c>
    </row>
    <row r="64" spans="1:34" ht="13.2">
      <c r="A64" s="32" t="s">
        <v>9</v>
      </c>
      <c r="B64" s="33" t="s">
        <v>43</v>
      </c>
      <c r="C64" s="34" t="s">
        <v>0</v>
      </c>
      <c r="D64" s="35">
        <f t="shared" ref="D64:AG64" si="30">VLOOKUP($C64,emission_factors,COLUMN(D$48)-1,FALSE)*D19/1000000</f>
        <v>255449.56238825212</v>
      </c>
      <c r="E64" s="35">
        <f t="shared" ca="1" si="30"/>
        <v>216453.42202328745</v>
      </c>
      <c r="F64" s="35">
        <f t="shared" ca="1" si="30"/>
        <v>200287.40633627225</v>
      </c>
      <c r="G64" s="35">
        <f t="shared" ca="1" si="30"/>
        <v>201415.27186026916</v>
      </c>
      <c r="H64" s="35">
        <f t="shared" ca="1" si="30"/>
        <v>212956.13236727475</v>
      </c>
      <c r="I64" s="35">
        <f t="shared" ca="1" si="30"/>
        <v>207739.27337894661</v>
      </c>
      <c r="J64" s="35">
        <f t="shared" ca="1" si="30"/>
        <v>201734.24596750402</v>
      </c>
      <c r="K64" s="35">
        <f t="shared" ca="1" si="30"/>
        <v>200235.97563760981</v>
      </c>
      <c r="L64" s="35">
        <f t="shared" ca="1" si="30"/>
        <v>206134.15791400755</v>
      </c>
      <c r="M64" s="35">
        <f t="shared" ca="1" si="30"/>
        <v>212903.32523254797</v>
      </c>
      <c r="N64" s="35">
        <f t="shared" ca="1" si="30"/>
        <v>216462.38879335372</v>
      </c>
      <c r="O64" s="35">
        <f t="shared" ca="1" si="30"/>
        <v>221167.6759629038</v>
      </c>
      <c r="P64" s="35">
        <f t="shared" ca="1" si="30"/>
        <v>225047.935892893</v>
      </c>
      <c r="Q64" s="35">
        <f t="shared" ca="1" si="30"/>
        <v>228651.84350157683</v>
      </c>
      <c r="R64" s="35">
        <f t="shared" ca="1" si="30"/>
        <v>227878.7795910339</v>
      </c>
      <c r="S64" s="35">
        <f t="shared" ca="1" si="30"/>
        <v>226480.8045057625</v>
      </c>
      <c r="T64" s="35">
        <f t="shared" ca="1" si="30"/>
        <v>225147.93545813824</v>
      </c>
      <c r="U64" s="35">
        <f t="shared" ca="1" si="30"/>
        <v>222544.51591177931</v>
      </c>
      <c r="V64" s="35">
        <f t="shared" ca="1" si="30"/>
        <v>220599.73742110483</v>
      </c>
      <c r="W64" s="35">
        <f t="shared" ca="1" si="30"/>
        <v>218450.79846576587</v>
      </c>
      <c r="X64" s="35">
        <f t="shared" ca="1" si="30"/>
        <v>216953.3424826946</v>
      </c>
      <c r="Y64" s="35">
        <f t="shared" ca="1" si="30"/>
        <v>215519.23382575423</v>
      </c>
      <c r="Z64" s="35">
        <f t="shared" ca="1" si="30"/>
        <v>214862.84842363789</v>
      </c>
      <c r="AA64" s="35">
        <f t="shared" ca="1" si="30"/>
        <v>213651.81644332522</v>
      </c>
      <c r="AB64" s="35">
        <f t="shared" ca="1" si="30"/>
        <v>213514.07652077856</v>
      </c>
      <c r="AC64" s="35">
        <f t="shared" ca="1" si="30"/>
        <v>212256.02626092834</v>
      </c>
      <c r="AD64" s="35">
        <f t="shared" ca="1" si="30"/>
        <v>211321.58787316742</v>
      </c>
      <c r="AE64" s="35">
        <f t="shared" ca="1" si="30"/>
        <v>211570.98415342189</v>
      </c>
      <c r="AF64" s="35">
        <f t="shared" ca="1" si="30"/>
        <v>210389.73841330301</v>
      </c>
      <c r="AG64" s="35">
        <f t="shared" ca="1" si="30"/>
        <v>209053.70970743516</v>
      </c>
      <c r="AH64" s="36">
        <f t="shared" ca="1" si="27"/>
        <v>-0.18162431850363059</v>
      </c>
    </row>
    <row r="65" spans="1:34" ht="13.2">
      <c r="A65" s="32" t="s">
        <v>9</v>
      </c>
      <c r="B65" s="33" t="s">
        <v>43</v>
      </c>
      <c r="C65" s="34" t="s">
        <v>14</v>
      </c>
      <c r="D65" s="35">
        <f t="shared" ref="D65:AG65" si="31">VLOOKUP($C65,emission_factors,COLUMN(D$48)-1,FALSE)*D20</f>
        <v>96825.169256186797</v>
      </c>
      <c r="E65" s="35">
        <f t="shared" ca="1" si="31"/>
        <v>93650.594625530241</v>
      </c>
      <c r="F65" s="35">
        <f t="shared" ca="1" si="31"/>
        <v>102416.03388780623</v>
      </c>
      <c r="G65" s="35">
        <f t="shared" ca="1" si="31"/>
        <v>103264.73251513136</v>
      </c>
      <c r="H65" s="35">
        <f t="shared" ca="1" si="31"/>
        <v>103877.68072036028</v>
      </c>
      <c r="I65" s="35">
        <f t="shared" ca="1" si="31"/>
        <v>103963.65774131898</v>
      </c>
      <c r="J65" s="35">
        <f t="shared" ca="1" si="31"/>
        <v>103816.4972479194</v>
      </c>
      <c r="K65" s="35">
        <f t="shared" ca="1" si="31"/>
        <v>103522.21181462418</v>
      </c>
      <c r="L65" s="35">
        <f t="shared" ca="1" si="31"/>
        <v>103101.89915093916</v>
      </c>
      <c r="M65" s="35">
        <f t="shared" ca="1" si="31"/>
        <v>102773.75652779631</v>
      </c>
      <c r="N65" s="35">
        <f t="shared" ca="1" si="31"/>
        <v>101850.72747143658</v>
      </c>
      <c r="O65" s="35">
        <f t="shared" ca="1" si="31"/>
        <v>101026.83149850629</v>
      </c>
      <c r="P65" s="35">
        <f t="shared" ca="1" si="31"/>
        <v>100193.3902081651</v>
      </c>
      <c r="Q65" s="35">
        <f t="shared" ca="1" si="31"/>
        <v>99436.935065245343</v>
      </c>
      <c r="R65" s="35">
        <f t="shared" ca="1" si="31"/>
        <v>98779.597996224227</v>
      </c>
      <c r="S65" s="35">
        <f t="shared" ca="1" si="31"/>
        <v>98149.489303080321</v>
      </c>
      <c r="T65" s="35">
        <f t="shared" ca="1" si="31"/>
        <v>97498.150155534793</v>
      </c>
      <c r="U65" s="35">
        <f t="shared" ca="1" si="31"/>
        <v>96849.036555821585</v>
      </c>
      <c r="V65" s="35">
        <f t="shared" ca="1" si="31"/>
        <v>96220.743574753549</v>
      </c>
      <c r="W65" s="35">
        <f t="shared" ca="1" si="31"/>
        <v>95624.896502831674</v>
      </c>
      <c r="X65" s="35">
        <f t="shared" ca="1" si="31"/>
        <v>95045.55027984835</v>
      </c>
      <c r="Y65" s="35">
        <f t="shared" ca="1" si="31"/>
        <v>94477.941071194437</v>
      </c>
      <c r="Z65" s="35">
        <f t="shared" ca="1" si="31"/>
        <v>93915.218471469969</v>
      </c>
      <c r="AA65" s="35">
        <f t="shared" ca="1" si="31"/>
        <v>93404.069191944189</v>
      </c>
      <c r="AB65" s="35">
        <f t="shared" ca="1" si="31"/>
        <v>92874.883489549829</v>
      </c>
      <c r="AC65" s="35">
        <f t="shared" ca="1" si="31"/>
        <v>92336.203226801255</v>
      </c>
      <c r="AD65" s="35">
        <f t="shared" ca="1" si="31"/>
        <v>91786.295451551705</v>
      </c>
      <c r="AE65" s="35">
        <f t="shared" ca="1" si="31"/>
        <v>91231.87615091828</v>
      </c>
      <c r="AF65" s="35">
        <f t="shared" ca="1" si="31"/>
        <v>90664.873942493097</v>
      </c>
      <c r="AG65" s="35">
        <f t="shared" ca="1" si="31"/>
        <v>90090.586942749316</v>
      </c>
      <c r="AH65" s="36">
        <f t="shared" ca="1" si="27"/>
        <v>-6.9554046382492268E-2</v>
      </c>
    </row>
    <row r="66" spans="1:34" ht="13.2">
      <c r="A66" s="32" t="s">
        <v>9</v>
      </c>
      <c r="B66" s="33" t="s">
        <v>45</v>
      </c>
      <c r="C66" s="34" t="s">
        <v>0</v>
      </c>
      <c r="D66" s="35">
        <f t="shared" ref="D66:AG66" si="32">VLOOKUP($C66,emission_factors,COLUMN(D$48)-1,FALSE)*D21/1000000</f>
        <v>141957.38595815402</v>
      </c>
      <c r="E66" s="35">
        <f t="shared" ca="1" si="32"/>
        <v>125987.09014776949</v>
      </c>
      <c r="F66" s="35">
        <f t="shared" ca="1" si="32"/>
        <v>112788.39774391384</v>
      </c>
      <c r="G66" s="35">
        <f t="shared" ca="1" si="32"/>
        <v>112593.30831121515</v>
      </c>
      <c r="H66" s="35">
        <f t="shared" ca="1" si="32"/>
        <v>118410.39785699017</v>
      </c>
      <c r="I66" s="35">
        <f t="shared" ca="1" si="32"/>
        <v>114778.27783333931</v>
      </c>
      <c r="J66" s="35">
        <f t="shared" ca="1" si="32"/>
        <v>111210.37709756652</v>
      </c>
      <c r="K66" s="35">
        <f t="shared" ca="1" si="32"/>
        <v>110080.9766433926</v>
      </c>
      <c r="L66" s="35">
        <f t="shared" ca="1" si="32"/>
        <v>113005.39758895156</v>
      </c>
      <c r="M66" s="35">
        <f t="shared" ca="1" si="32"/>
        <v>116276.23362681161</v>
      </c>
      <c r="N66" s="35">
        <f t="shared" ca="1" si="32"/>
        <v>117985.55587699448</v>
      </c>
      <c r="O66" s="35">
        <f t="shared" ca="1" si="32"/>
        <v>120344.51937198857</v>
      </c>
      <c r="P66" s="35">
        <f t="shared" ca="1" si="32"/>
        <v>122291.74922747456</v>
      </c>
      <c r="Q66" s="35">
        <f t="shared" ca="1" si="32"/>
        <v>124109.9329529433</v>
      </c>
      <c r="R66" s="35">
        <f t="shared" ca="1" si="32"/>
        <v>123535.95788134508</v>
      </c>
      <c r="S66" s="35">
        <f t="shared" ca="1" si="32"/>
        <v>122610.16697930524</v>
      </c>
      <c r="T66" s="35">
        <f t="shared" ca="1" si="32"/>
        <v>121675.08079914351</v>
      </c>
      <c r="U66" s="35">
        <f t="shared" ca="1" si="32"/>
        <v>120099.15363105728</v>
      </c>
      <c r="V66" s="35">
        <f t="shared" ca="1" si="32"/>
        <v>118831.57677774674</v>
      </c>
      <c r="W66" s="35">
        <f t="shared" ca="1" si="32"/>
        <v>117460.69584917703</v>
      </c>
      <c r="X66" s="35">
        <f t="shared" ca="1" si="32"/>
        <v>116629.61938886343</v>
      </c>
      <c r="Y66" s="35">
        <f t="shared" ca="1" si="32"/>
        <v>115862.11549296461</v>
      </c>
      <c r="Z66" s="35">
        <f t="shared" ca="1" si="32"/>
        <v>115518.07671362847</v>
      </c>
      <c r="AA66" s="35">
        <f t="shared" ca="1" si="32"/>
        <v>114807.09927152602</v>
      </c>
      <c r="AB66" s="35">
        <f t="shared" ca="1" si="32"/>
        <v>114698.85092450283</v>
      </c>
      <c r="AC66" s="35">
        <f t="shared" ca="1" si="32"/>
        <v>113849.77706580737</v>
      </c>
      <c r="AD66" s="35">
        <f t="shared" ca="1" si="32"/>
        <v>113268.36596339922</v>
      </c>
      <c r="AE66" s="35">
        <f t="shared" ca="1" si="32"/>
        <v>113260.73531153593</v>
      </c>
      <c r="AF66" s="35">
        <f t="shared" ca="1" si="32"/>
        <v>112537.69893905765</v>
      </c>
      <c r="AG66" s="35">
        <f t="shared" ca="1" si="32"/>
        <v>111701.79334826676</v>
      </c>
      <c r="AH66" s="36">
        <f t="shared" ca="1" si="27"/>
        <v>-0.21313151412076548</v>
      </c>
    </row>
    <row r="67" spans="1:34" ht="13.2">
      <c r="A67" s="32" t="s">
        <v>9</v>
      </c>
      <c r="B67" s="33" t="s">
        <v>45</v>
      </c>
      <c r="C67" s="34" t="s">
        <v>14</v>
      </c>
      <c r="D67" s="35">
        <f t="shared" ref="D67:AG67" si="33">VLOOKUP($C67,emission_factors,COLUMN(D$48)-1,FALSE)*D22</f>
        <v>64385.33484673949</v>
      </c>
      <c r="E67" s="35">
        <f t="shared" ca="1" si="33"/>
        <v>66721.327558947989</v>
      </c>
      <c r="F67" s="35">
        <f t="shared" ca="1" si="33"/>
        <v>65997.523035174076</v>
      </c>
      <c r="G67" s="35">
        <f t="shared" ca="1" si="33"/>
        <v>66430.077632297834</v>
      </c>
      <c r="H67" s="35">
        <f t="shared" ca="1" si="33"/>
        <v>67013.472776945157</v>
      </c>
      <c r="I67" s="35">
        <f t="shared" ca="1" si="33"/>
        <v>67328.381347324656</v>
      </c>
      <c r="J67" s="35">
        <f t="shared" ca="1" si="33"/>
        <v>67880.121178979927</v>
      </c>
      <c r="K67" s="35">
        <f t="shared" ca="1" si="33"/>
        <v>68148.748565518588</v>
      </c>
      <c r="L67" s="35">
        <f t="shared" ca="1" si="33"/>
        <v>68181.802981326764</v>
      </c>
      <c r="M67" s="35">
        <f t="shared" ca="1" si="33"/>
        <v>68260.360024163907</v>
      </c>
      <c r="N67" s="35">
        <f t="shared" ca="1" si="33"/>
        <v>68025.818379043369</v>
      </c>
      <c r="O67" s="35">
        <f t="shared" ca="1" si="33"/>
        <v>67884.862359782594</v>
      </c>
      <c r="P67" s="35">
        <f t="shared" ca="1" si="33"/>
        <v>67696.052017328402</v>
      </c>
      <c r="Q67" s="35">
        <f t="shared" ca="1" si="33"/>
        <v>67572.530578161502</v>
      </c>
      <c r="R67" s="35">
        <f t="shared" ca="1" si="33"/>
        <v>67531.643438196377</v>
      </c>
      <c r="S67" s="35">
        <f t="shared" ca="1" si="33"/>
        <v>67480.840809107976</v>
      </c>
      <c r="T67" s="35">
        <f t="shared" ca="1" si="33"/>
        <v>67360.409280759239</v>
      </c>
      <c r="U67" s="35">
        <f t="shared" ca="1" si="33"/>
        <v>67203.816352717797</v>
      </c>
      <c r="V67" s="35">
        <f t="shared" ca="1" si="33"/>
        <v>67037.074356313344</v>
      </c>
      <c r="W67" s="35">
        <f t="shared" ca="1" si="33"/>
        <v>66870.395315480433</v>
      </c>
      <c r="X67" s="35">
        <f t="shared" ca="1" si="33"/>
        <v>66719.698133749102</v>
      </c>
      <c r="Y67" s="35">
        <f t="shared" ca="1" si="33"/>
        <v>66580.53004517201</v>
      </c>
      <c r="Z67" s="35">
        <f t="shared" ca="1" si="33"/>
        <v>66439.471440310299</v>
      </c>
      <c r="AA67" s="35">
        <f t="shared" ca="1" si="33"/>
        <v>66340.377222638999</v>
      </c>
      <c r="AB67" s="35">
        <f t="shared" ca="1" si="33"/>
        <v>66228.101594035528</v>
      </c>
      <c r="AC67" s="35">
        <f t="shared" ca="1" si="33"/>
        <v>66098.411935602402</v>
      </c>
      <c r="AD67" s="35">
        <f t="shared" ca="1" si="33"/>
        <v>65951.035601933385</v>
      </c>
      <c r="AE67" s="35">
        <f t="shared" ca="1" si="33"/>
        <v>65797.48208382813</v>
      </c>
      <c r="AF67" s="35">
        <f t="shared" ca="1" si="33"/>
        <v>65626.37140048416</v>
      </c>
      <c r="AG67" s="35">
        <f t="shared" ca="1" si="33"/>
        <v>65443.124472205032</v>
      </c>
      <c r="AH67" s="36">
        <f t="shared" ca="1" si="27"/>
        <v>1.6429045961840014E-2</v>
      </c>
    </row>
    <row r="68" spans="1:34" ht="13.2">
      <c r="A68" s="32" t="s">
        <v>9</v>
      </c>
      <c r="B68" s="33" t="s">
        <v>48</v>
      </c>
      <c r="C68" s="34" t="s">
        <v>0</v>
      </c>
      <c r="D68" s="35">
        <f t="shared" ref="D68:AG68" si="34">VLOOKUP($C68,emission_factors,COLUMN(D$48)-1,FALSE)*D23/1000000</f>
        <v>515799.27523346938</v>
      </c>
      <c r="E68" s="35">
        <f t="shared" ca="1" si="34"/>
        <v>467049.49772889074</v>
      </c>
      <c r="F68" s="35">
        <f t="shared" ca="1" si="34"/>
        <v>427143.99044208444</v>
      </c>
      <c r="G68" s="35">
        <f t="shared" ca="1" si="34"/>
        <v>427058.08553132968</v>
      </c>
      <c r="H68" s="35">
        <f t="shared" ca="1" si="34"/>
        <v>453029.78915004304</v>
      </c>
      <c r="I68" s="35">
        <f t="shared" ca="1" si="34"/>
        <v>444517.16631852993</v>
      </c>
      <c r="J68" s="35">
        <f t="shared" ca="1" si="34"/>
        <v>431876.92716413958</v>
      </c>
      <c r="K68" s="35">
        <f t="shared" ca="1" si="34"/>
        <v>428631.46379136905</v>
      </c>
      <c r="L68" s="35">
        <f t="shared" ca="1" si="34"/>
        <v>442596.63735425175</v>
      </c>
      <c r="M68" s="35">
        <f t="shared" ca="1" si="34"/>
        <v>457957.39077147748</v>
      </c>
      <c r="N68" s="35">
        <f t="shared" ca="1" si="34"/>
        <v>467033.34433448513</v>
      </c>
      <c r="O68" s="35">
        <f t="shared" ca="1" si="34"/>
        <v>478557.04502681521</v>
      </c>
      <c r="P68" s="35">
        <f t="shared" ca="1" si="34"/>
        <v>487294.88079992257</v>
      </c>
      <c r="Q68" s="35">
        <f t="shared" ca="1" si="34"/>
        <v>494667.46435485169</v>
      </c>
      <c r="R68" s="35">
        <f t="shared" ca="1" si="34"/>
        <v>492565.53518169932</v>
      </c>
      <c r="S68" s="35">
        <f t="shared" ca="1" si="34"/>
        <v>489023.66683779884</v>
      </c>
      <c r="T68" s="35">
        <f t="shared" ca="1" si="34"/>
        <v>486354.4332321629</v>
      </c>
      <c r="U68" s="35">
        <f t="shared" ca="1" si="34"/>
        <v>480506.40490541892</v>
      </c>
      <c r="V68" s="35">
        <f t="shared" ca="1" si="34"/>
        <v>475705.53514404537</v>
      </c>
      <c r="W68" s="35">
        <f t="shared" ca="1" si="34"/>
        <v>470366.13624193007</v>
      </c>
      <c r="X68" s="35">
        <f t="shared" ca="1" si="34"/>
        <v>467644.32462644071</v>
      </c>
      <c r="Y68" s="35">
        <f t="shared" ca="1" si="34"/>
        <v>465354.5345103257</v>
      </c>
      <c r="Z68" s="35">
        <f t="shared" ca="1" si="34"/>
        <v>464059.57272117818</v>
      </c>
      <c r="AA68" s="35">
        <f t="shared" ca="1" si="34"/>
        <v>460600.07622906298</v>
      </c>
      <c r="AB68" s="35">
        <f t="shared" ca="1" si="34"/>
        <v>459580.89381874405</v>
      </c>
      <c r="AC68" s="35">
        <f t="shared" ca="1" si="34"/>
        <v>456223.31067978463</v>
      </c>
      <c r="AD68" s="35">
        <f t="shared" ca="1" si="34"/>
        <v>452464.0907411488</v>
      </c>
      <c r="AE68" s="35">
        <f t="shared" ca="1" si="34"/>
        <v>450352.77042752778</v>
      </c>
      <c r="AF68" s="35">
        <f t="shared" ca="1" si="34"/>
        <v>445892.9632681135</v>
      </c>
      <c r="AG68" s="35">
        <f t="shared" ca="1" si="34"/>
        <v>442490.94847446086</v>
      </c>
      <c r="AH68" s="36">
        <f t="shared" ca="1" si="27"/>
        <v>-0.1421256877994381</v>
      </c>
    </row>
    <row r="69" spans="1:34" ht="13.2">
      <c r="A69" s="32" t="s">
        <v>9</v>
      </c>
      <c r="B69" s="33" t="s">
        <v>48</v>
      </c>
      <c r="C69" s="34" t="s">
        <v>14</v>
      </c>
      <c r="D69" s="35">
        <f t="shared" ref="D69:AG69" si="35">VLOOKUP($C69,emission_factors,COLUMN(D$48)-1,FALSE)*D24</f>
        <v>307934.50739330065</v>
      </c>
      <c r="E69" s="35">
        <f t="shared" ca="1" si="35"/>
        <v>315716.43920150935</v>
      </c>
      <c r="F69" s="35">
        <f t="shared" ca="1" si="35"/>
        <v>328160.69943505566</v>
      </c>
      <c r="G69" s="35">
        <f t="shared" ca="1" si="35"/>
        <v>329643.21670777421</v>
      </c>
      <c r="H69" s="35">
        <f t="shared" ca="1" si="35"/>
        <v>332210.9996667626</v>
      </c>
      <c r="I69" s="35">
        <f t="shared" ca="1" si="35"/>
        <v>336586.08549733099</v>
      </c>
      <c r="J69" s="35">
        <f t="shared" ca="1" si="35"/>
        <v>336846.3667923368</v>
      </c>
      <c r="K69" s="35">
        <f t="shared" ca="1" si="35"/>
        <v>337313.80871926452</v>
      </c>
      <c r="L69" s="35">
        <f t="shared" ca="1" si="35"/>
        <v>339072.16281856806</v>
      </c>
      <c r="M69" s="35">
        <f t="shared" ca="1" si="35"/>
        <v>341034.63424835424</v>
      </c>
      <c r="N69" s="35">
        <f t="shared" ca="1" si="35"/>
        <v>340385.92061559408</v>
      </c>
      <c r="O69" s="35">
        <f t="shared" ca="1" si="35"/>
        <v>340948.32087852375</v>
      </c>
      <c r="P69" s="35">
        <f t="shared" ca="1" si="35"/>
        <v>340266.78278207761</v>
      </c>
      <c r="Q69" s="35">
        <f t="shared" ca="1" si="35"/>
        <v>339770.5011275431</v>
      </c>
      <c r="R69" s="35">
        <f t="shared" ca="1" si="35"/>
        <v>340404.21197525249</v>
      </c>
      <c r="S69" s="35">
        <f t="shared" ca="1" si="35"/>
        <v>340489.95157342893</v>
      </c>
      <c r="T69" s="35">
        <f t="shared" ca="1" si="35"/>
        <v>341061.66213369626</v>
      </c>
      <c r="U69" s="35">
        <f t="shared" ca="1" si="35"/>
        <v>342104.32915734599</v>
      </c>
      <c r="V69" s="35">
        <f t="shared" ca="1" si="35"/>
        <v>342625.94042062975</v>
      </c>
      <c r="W69" s="35">
        <f t="shared" ca="1" si="35"/>
        <v>343560.75707337318</v>
      </c>
      <c r="X69" s="35">
        <f t="shared" ca="1" si="35"/>
        <v>345343.89299260062</v>
      </c>
      <c r="Y69" s="35">
        <f t="shared" ca="1" si="35"/>
        <v>347944.38934864517</v>
      </c>
      <c r="Z69" s="35">
        <f t="shared" ca="1" si="35"/>
        <v>351013.08070965554</v>
      </c>
      <c r="AA69" s="35">
        <f t="shared" ca="1" si="35"/>
        <v>352279.98409006541</v>
      </c>
      <c r="AB69" s="35">
        <f t="shared" ca="1" si="35"/>
        <v>355613.33133727353</v>
      </c>
      <c r="AC69" s="35">
        <f t="shared" ca="1" si="35"/>
        <v>357650.16883754189</v>
      </c>
      <c r="AD69" s="35">
        <f t="shared" ca="1" si="35"/>
        <v>358451.68189177802</v>
      </c>
      <c r="AE69" s="35">
        <f t="shared" ca="1" si="35"/>
        <v>359943.560540153</v>
      </c>
      <c r="AF69" s="35">
        <f t="shared" ca="1" si="35"/>
        <v>361556.31738952076</v>
      </c>
      <c r="AG69" s="35">
        <f t="shared" ca="1" si="35"/>
        <v>364884.31036737439</v>
      </c>
      <c r="AH69" s="36">
        <f t="shared" ca="1" si="27"/>
        <v>0.18494128331429974</v>
      </c>
    </row>
    <row r="70" spans="1:34" ht="13.2">
      <c r="A70" s="32" t="s">
        <v>9</v>
      </c>
      <c r="B70" s="33" t="s">
        <v>48</v>
      </c>
      <c r="C70" s="37" t="s">
        <v>72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6"/>
    </row>
    <row r="71" spans="1:34" ht="13.2">
      <c r="A71" s="32" t="s">
        <v>9</v>
      </c>
      <c r="B71" s="38" t="s">
        <v>73</v>
      </c>
      <c r="C71" s="37" t="s">
        <v>72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G71" s="35">
        <v>0</v>
      </c>
      <c r="AH71" s="36"/>
    </row>
    <row r="72" spans="1:34" ht="13.2">
      <c r="A72" s="32" t="s">
        <v>9</v>
      </c>
      <c r="B72" s="33" t="s">
        <v>50</v>
      </c>
      <c r="C72" s="37" t="s">
        <v>0</v>
      </c>
      <c r="D72" s="35">
        <f t="shared" ref="D72:AG72" si="36">VLOOKUP($C72,emission_factors,COLUMN(D$48)-1,FALSE)*D25/1000000</f>
        <v>0</v>
      </c>
      <c r="E72" s="35">
        <f t="shared" ca="1" si="36"/>
        <v>400.50594029006066</v>
      </c>
      <c r="F72" s="35">
        <f t="shared" ca="1" si="36"/>
        <v>467.5698537207266</v>
      </c>
      <c r="G72" s="35">
        <f t="shared" ca="1" si="36"/>
        <v>589.0231936739865</v>
      </c>
      <c r="H72" s="35">
        <f t="shared" ca="1" si="36"/>
        <v>756.07918242563596</v>
      </c>
      <c r="I72" s="35">
        <f t="shared" ca="1" si="36"/>
        <v>875.7899540037497</v>
      </c>
      <c r="J72" s="35">
        <f t="shared" ca="1" si="36"/>
        <v>986.86484530006533</v>
      </c>
      <c r="K72" s="35">
        <f t="shared" ca="1" si="36"/>
        <v>1113.145684560149</v>
      </c>
      <c r="L72" s="35">
        <f t="shared" ca="1" si="36"/>
        <v>1283.243502216111</v>
      </c>
      <c r="M72" s="35">
        <f t="shared" ca="1" si="36"/>
        <v>1471.1309735447551</v>
      </c>
      <c r="N72" s="35">
        <f t="shared" ca="1" si="36"/>
        <v>1644.0398482079072</v>
      </c>
      <c r="O72" s="35">
        <f t="shared" ca="1" si="36"/>
        <v>1826.7435884476897</v>
      </c>
      <c r="P72" s="35">
        <f t="shared" ca="1" si="36"/>
        <v>2006.0796488578605</v>
      </c>
      <c r="Q72" s="35">
        <f t="shared" ca="1" si="36"/>
        <v>2185.2930349637154</v>
      </c>
      <c r="R72" s="35">
        <f t="shared" ca="1" si="36"/>
        <v>2319.9799289288135</v>
      </c>
      <c r="S72" s="35">
        <f t="shared" ca="1" si="36"/>
        <v>2445.1393175629601</v>
      </c>
      <c r="T72" s="35">
        <f t="shared" ca="1" si="36"/>
        <v>2566.7839881724408</v>
      </c>
      <c r="U72" s="35">
        <f t="shared" ca="1" si="36"/>
        <v>2670.3104737868571</v>
      </c>
      <c r="V72" s="35">
        <f t="shared" ca="1" si="36"/>
        <v>2777.8706188286656</v>
      </c>
      <c r="W72" s="35">
        <f t="shared" ca="1" si="36"/>
        <v>2881.4700097474483</v>
      </c>
      <c r="X72" s="35">
        <f t="shared" ca="1" si="36"/>
        <v>2989.2426531913579</v>
      </c>
      <c r="Y72" s="35">
        <f t="shared" ca="1" si="36"/>
        <v>3091.3605364484829</v>
      </c>
      <c r="Z72" s="35">
        <f t="shared" ca="1" si="36"/>
        <v>3201.3922230740091</v>
      </c>
      <c r="AA72" s="35">
        <f t="shared" ca="1" si="36"/>
        <v>3300.443658054789</v>
      </c>
      <c r="AB72" s="35">
        <f t="shared" ca="1" si="36"/>
        <v>3409.7366659876097</v>
      </c>
      <c r="AC72" s="35">
        <f t="shared" ca="1" si="36"/>
        <v>3498.321867000539</v>
      </c>
      <c r="AD72" s="35">
        <f t="shared" ca="1" si="36"/>
        <v>3587.6620846534529</v>
      </c>
      <c r="AE72" s="35">
        <f t="shared" ca="1" si="36"/>
        <v>3691.4472529079439</v>
      </c>
      <c r="AF72" s="35">
        <f t="shared" ca="1" si="36"/>
        <v>3767.0591207986895</v>
      </c>
      <c r="AG72" s="35">
        <f t="shared" si="36"/>
        <v>3836.3672965369701</v>
      </c>
      <c r="AH72" s="36" t="e">
        <f t="shared" ref="AH72:AH74" si="37">(AG72-D72)/D72</f>
        <v>#DIV/0!</v>
      </c>
    </row>
    <row r="73" spans="1:34" ht="13.2">
      <c r="A73" s="32" t="s">
        <v>9</v>
      </c>
      <c r="B73" s="33" t="s">
        <v>50</v>
      </c>
      <c r="C73" s="34" t="s">
        <v>46</v>
      </c>
      <c r="D73" s="35">
        <f t="shared" ref="D73:AG73" ca="1" si="38">VLOOKUP($C73,emission_factors,COLUMN(D$48)-1,FALSE)*D26</f>
        <v>357213.31580811128</v>
      </c>
      <c r="E73" s="35">
        <f t="shared" ca="1" si="38"/>
        <v>368907.46752428671</v>
      </c>
      <c r="F73" s="35">
        <f t="shared" ca="1" si="38"/>
        <v>377051.00536557147</v>
      </c>
      <c r="G73" s="35">
        <f t="shared" ca="1" si="38"/>
        <v>377127.57536691043</v>
      </c>
      <c r="H73" s="35">
        <f t="shared" ca="1" si="38"/>
        <v>376713.81792839704</v>
      </c>
      <c r="I73" s="35">
        <f t="shared" ca="1" si="38"/>
        <v>375393.14275077824</v>
      </c>
      <c r="J73" s="35">
        <f t="shared" ca="1" si="38"/>
        <v>373417.37242555287</v>
      </c>
      <c r="K73" s="35">
        <f t="shared" ca="1" si="38"/>
        <v>371186.83555633581</v>
      </c>
      <c r="L73" s="35">
        <f t="shared" ca="1" si="38"/>
        <v>369300.29363813705</v>
      </c>
      <c r="M73" s="35">
        <f t="shared" ca="1" si="38"/>
        <v>367833.53914506733</v>
      </c>
      <c r="N73" s="35">
        <f t="shared" ca="1" si="38"/>
        <v>364306.97713948274</v>
      </c>
      <c r="O73" s="35">
        <f t="shared" ca="1" si="38"/>
        <v>360632.59635148465</v>
      </c>
      <c r="P73" s="35">
        <f t="shared" ca="1" si="38"/>
        <v>357648.42674712831</v>
      </c>
      <c r="Q73" s="35">
        <f t="shared" ca="1" si="38"/>
        <v>354827.78662267601</v>
      </c>
      <c r="R73" s="35">
        <f t="shared" ca="1" si="38"/>
        <v>351980.76820778474</v>
      </c>
      <c r="S73" s="35">
        <f t="shared" ca="1" si="38"/>
        <v>349412.5636046952</v>
      </c>
      <c r="T73" s="35">
        <f t="shared" ca="1" si="38"/>
        <v>347294.50829670468</v>
      </c>
      <c r="U73" s="35">
        <f t="shared" ca="1" si="38"/>
        <v>345368.41789555334</v>
      </c>
      <c r="V73" s="35">
        <f t="shared" ca="1" si="38"/>
        <v>343796.49474255514</v>
      </c>
      <c r="W73" s="35">
        <f t="shared" ca="1" si="38"/>
        <v>342457.89659580815</v>
      </c>
      <c r="X73" s="35">
        <f t="shared" ca="1" si="38"/>
        <v>341269.1381751697</v>
      </c>
      <c r="Y73" s="35">
        <f t="shared" ca="1" si="38"/>
        <v>340276.72342977556</v>
      </c>
      <c r="Z73" s="35">
        <f t="shared" ca="1" si="38"/>
        <v>339398.00295246369</v>
      </c>
      <c r="AA73" s="35">
        <f t="shared" ca="1" si="38"/>
        <v>338738.05488606129</v>
      </c>
      <c r="AB73" s="35">
        <f t="shared" ca="1" si="38"/>
        <v>338318.80608269555</v>
      </c>
      <c r="AC73" s="35">
        <f t="shared" ca="1" si="38"/>
        <v>338233.09572993085</v>
      </c>
      <c r="AD73" s="35">
        <f t="shared" ca="1" si="38"/>
        <v>338126.74831571965</v>
      </c>
      <c r="AE73" s="35">
        <f t="shared" ca="1" si="38"/>
        <v>338049.92023707367</v>
      </c>
      <c r="AF73" s="35">
        <f t="shared" ca="1" si="38"/>
        <v>338270.78129698528</v>
      </c>
      <c r="AG73" s="35">
        <f t="shared" ca="1" si="38"/>
        <v>338834.78952012281</v>
      </c>
      <c r="AH73" s="36">
        <f t="shared" ca="1" si="37"/>
        <v>-5.1449723385622863E-2</v>
      </c>
    </row>
    <row r="74" spans="1:34" ht="13.2">
      <c r="A74" s="32" t="s">
        <v>9</v>
      </c>
      <c r="B74" s="33" t="s">
        <v>50</v>
      </c>
      <c r="C74" s="34" t="s">
        <v>51</v>
      </c>
      <c r="D74" s="35">
        <f t="shared" ref="D74:AG74" si="39">VLOOKUP($C74,emission_factors,COLUMN(D$48)-1,FALSE)*D27</f>
        <v>89796.563997896243</v>
      </c>
      <c r="E74" s="35">
        <f t="shared" ca="1" si="39"/>
        <v>90804.772658686299</v>
      </c>
      <c r="F74" s="35">
        <f t="shared" ca="1" si="39"/>
        <v>92154.093492731554</v>
      </c>
      <c r="G74" s="35">
        <f t="shared" ca="1" si="39"/>
        <v>91697.441874965603</v>
      </c>
      <c r="H74" s="35">
        <f t="shared" ca="1" si="39"/>
        <v>91636.524730588571</v>
      </c>
      <c r="I74" s="35">
        <f t="shared" ca="1" si="39"/>
        <v>91346.35362165136</v>
      </c>
      <c r="J74" s="35">
        <f t="shared" ca="1" si="39"/>
        <v>90709.913410961584</v>
      </c>
      <c r="K74" s="35">
        <f t="shared" ca="1" si="39"/>
        <v>90048.867753655679</v>
      </c>
      <c r="L74" s="35">
        <f t="shared" ca="1" si="39"/>
        <v>89326.31326835668</v>
      </c>
      <c r="M74" s="35">
        <f t="shared" ca="1" si="39"/>
        <v>88599.528674376081</v>
      </c>
      <c r="N74" s="35">
        <f t="shared" ca="1" si="39"/>
        <v>87154.37394390766</v>
      </c>
      <c r="O74" s="35">
        <f t="shared" ca="1" si="39"/>
        <v>85908.040253680811</v>
      </c>
      <c r="P74" s="35">
        <f t="shared" ca="1" si="39"/>
        <v>84782.545917743133</v>
      </c>
      <c r="Q74" s="35">
        <f t="shared" ca="1" si="39"/>
        <v>83611.837528989694</v>
      </c>
      <c r="R74" s="35">
        <f t="shared" ca="1" si="39"/>
        <v>82567.074552924736</v>
      </c>
      <c r="S74" s="35">
        <f t="shared" ca="1" si="39"/>
        <v>81556.410679010107</v>
      </c>
      <c r="T74" s="35">
        <f t="shared" ca="1" si="39"/>
        <v>80760.856025225672</v>
      </c>
      <c r="U74" s="35">
        <f t="shared" ca="1" si="39"/>
        <v>80049.519345542925</v>
      </c>
      <c r="V74" s="35">
        <f t="shared" ca="1" si="39"/>
        <v>79297.638746505734</v>
      </c>
      <c r="W74" s="35">
        <f t="shared" ca="1" si="39"/>
        <v>78651.111274143535</v>
      </c>
      <c r="X74" s="35">
        <f t="shared" ca="1" si="39"/>
        <v>78045.295993212683</v>
      </c>
      <c r="Y74" s="35">
        <f t="shared" ca="1" si="39"/>
        <v>77613.940000662187</v>
      </c>
      <c r="Z74" s="35">
        <f t="shared" ca="1" si="39"/>
        <v>77209.870870933169</v>
      </c>
      <c r="AA74" s="35">
        <f t="shared" ca="1" si="39"/>
        <v>76751.71981768994</v>
      </c>
      <c r="AB74" s="35">
        <f t="shared" ca="1" si="39"/>
        <v>76281.614595086532</v>
      </c>
      <c r="AC74" s="35">
        <f t="shared" ca="1" si="39"/>
        <v>75890.635551196887</v>
      </c>
      <c r="AD74" s="35">
        <f t="shared" ca="1" si="39"/>
        <v>75378.518205663553</v>
      </c>
      <c r="AE74" s="35">
        <f t="shared" ca="1" si="39"/>
        <v>74755.740742190406</v>
      </c>
      <c r="AF74" s="35">
        <f t="shared" ca="1" si="39"/>
        <v>74287.039950705643</v>
      </c>
      <c r="AG74" s="35">
        <f t="shared" ca="1" si="39"/>
        <v>73978.309599006359</v>
      </c>
      <c r="AH74" s="36">
        <f t="shared" ca="1" si="37"/>
        <v>-0.17615656651696021</v>
      </c>
    </row>
    <row r="75" spans="1:34" ht="13.2">
      <c r="A75" s="32" t="s">
        <v>9</v>
      </c>
      <c r="B75" s="39" t="s">
        <v>74</v>
      </c>
      <c r="C75" s="37" t="s">
        <v>75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G75" s="35">
        <v>0</v>
      </c>
      <c r="AH75" s="36"/>
    </row>
    <row r="76" spans="1:34" ht="13.2">
      <c r="A76" s="32" t="s">
        <v>9</v>
      </c>
      <c r="B76" s="39" t="s">
        <v>76</v>
      </c>
      <c r="C76" s="37" t="s">
        <v>75</v>
      </c>
      <c r="D76" s="35" t="e">
        <v>#REF!</v>
      </c>
      <c r="E76" s="35" t="e">
        <v>#REF!</v>
      </c>
      <c r="F76" s="35" t="e">
        <v>#REF!</v>
      </c>
      <c r="G76" s="35" t="e">
        <v>#REF!</v>
      </c>
      <c r="H76" s="35" t="e">
        <v>#REF!</v>
      </c>
      <c r="I76" s="35" t="e">
        <v>#REF!</v>
      </c>
      <c r="J76" s="35" t="e">
        <v>#REF!</v>
      </c>
      <c r="K76" s="35" t="e">
        <v>#REF!</v>
      </c>
      <c r="L76" s="35" t="e">
        <v>#REF!</v>
      </c>
      <c r="M76" s="35" t="e">
        <v>#REF!</v>
      </c>
      <c r="N76" s="35" t="e">
        <v>#REF!</v>
      </c>
      <c r="O76" s="35" t="e">
        <v>#REF!</v>
      </c>
      <c r="P76" s="35" t="e">
        <v>#REF!</v>
      </c>
      <c r="Q76" s="35" t="e">
        <v>#REF!</v>
      </c>
      <c r="R76" s="35" t="e">
        <v>#REF!</v>
      </c>
      <c r="S76" s="35" t="e">
        <v>#REF!</v>
      </c>
      <c r="T76" s="35" t="e">
        <v>#REF!</v>
      </c>
      <c r="U76" s="35" t="e">
        <v>#REF!</v>
      </c>
      <c r="V76" s="35" t="e">
        <v>#REF!</v>
      </c>
      <c r="W76" s="35" t="e">
        <v>#REF!</v>
      </c>
      <c r="X76" s="35" t="e">
        <v>#REF!</v>
      </c>
      <c r="Y76" s="35" t="e">
        <v>#REF!</v>
      </c>
      <c r="Z76" s="35" t="e">
        <v>#REF!</v>
      </c>
      <c r="AA76" s="35" t="e">
        <v>#REF!</v>
      </c>
      <c r="AB76" s="35" t="e">
        <v>#REF!</v>
      </c>
      <c r="AC76" s="35" t="e">
        <v>#REF!</v>
      </c>
      <c r="AD76" s="35" t="e">
        <v>#REF!</v>
      </c>
      <c r="AE76" s="35" t="e">
        <v>#REF!</v>
      </c>
      <c r="AF76" s="35" t="e">
        <v>#REF!</v>
      </c>
      <c r="AG76" s="35" t="e">
        <v>#REF!</v>
      </c>
      <c r="AH76" s="36" t="e">
        <f t="shared" ref="AH76:AH108" si="40">(AG76-D76)/D76</f>
        <v>#REF!</v>
      </c>
    </row>
    <row r="77" spans="1:34" ht="13.2">
      <c r="A77" s="32" t="s">
        <v>9</v>
      </c>
      <c r="B77" s="39" t="s">
        <v>77</v>
      </c>
      <c r="C77" s="37" t="s">
        <v>75</v>
      </c>
      <c r="D77" s="35" t="str">
        <f ca="1">IFERROR(__xludf.DUMMYFUNCTION("Projections!D$33*importrange(""https://docs.google.com/spreadsheets/d/1xsqsPLhBO7fHAdQrQL6i9xl_YzbUswo2xD1VyzEhqBE"",""Agriculture DataSheet!J25"")/importrange(""https://docs.google.com/spreadsheets/d/1xsqsPLhBO7fHAdQrQL6i9xl_YzbUswo2xD1VyzEhqBE"",""Agric"&amp;"ulture DataSheet!J27"")"),"#REF!")</f>
        <v>#REF!</v>
      </c>
      <c r="E77" s="35" t="str">
        <f t="shared" ref="E77:AG77" ca="1" si="41">D77</f>
        <v>#REF!</v>
      </c>
      <c r="F77" s="35" t="str">
        <f t="shared" ca="1" si="41"/>
        <v>#REF!</v>
      </c>
      <c r="G77" s="35" t="str">
        <f t="shared" ca="1" si="41"/>
        <v>#REF!</v>
      </c>
      <c r="H77" s="35" t="str">
        <f t="shared" ca="1" si="41"/>
        <v>#REF!</v>
      </c>
      <c r="I77" s="35" t="str">
        <f t="shared" ca="1" si="41"/>
        <v>#REF!</v>
      </c>
      <c r="J77" s="35" t="str">
        <f t="shared" ca="1" si="41"/>
        <v>#REF!</v>
      </c>
      <c r="K77" s="35" t="str">
        <f t="shared" ca="1" si="41"/>
        <v>#REF!</v>
      </c>
      <c r="L77" s="35" t="str">
        <f t="shared" ca="1" si="41"/>
        <v>#REF!</v>
      </c>
      <c r="M77" s="35" t="str">
        <f t="shared" ca="1" si="41"/>
        <v>#REF!</v>
      </c>
      <c r="N77" s="35" t="str">
        <f t="shared" ca="1" si="41"/>
        <v>#REF!</v>
      </c>
      <c r="O77" s="35" t="str">
        <f t="shared" ca="1" si="41"/>
        <v>#REF!</v>
      </c>
      <c r="P77" s="35" t="str">
        <f t="shared" ca="1" si="41"/>
        <v>#REF!</v>
      </c>
      <c r="Q77" s="35" t="str">
        <f t="shared" ca="1" si="41"/>
        <v>#REF!</v>
      </c>
      <c r="R77" s="35" t="str">
        <f t="shared" ca="1" si="41"/>
        <v>#REF!</v>
      </c>
      <c r="S77" s="35" t="str">
        <f t="shared" ca="1" si="41"/>
        <v>#REF!</v>
      </c>
      <c r="T77" s="35" t="str">
        <f t="shared" ca="1" si="41"/>
        <v>#REF!</v>
      </c>
      <c r="U77" s="35" t="str">
        <f t="shared" ca="1" si="41"/>
        <v>#REF!</v>
      </c>
      <c r="V77" s="35" t="str">
        <f t="shared" ca="1" si="41"/>
        <v>#REF!</v>
      </c>
      <c r="W77" s="35" t="str">
        <f t="shared" ca="1" si="41"/>
        <v>#REF!</v>
      </c>
      <c r="X77" s="35" t="str">
        <f t="shared" ca="1" si="41"/>
        <v>#REF!</v>
      </c>
      <c r="Y77" s="35" t="str">
        <f t="shared" ca="1" si="41"/>
        <v>#REF!</v>
      </c>
      <c r="Z77" s="35" t="str">
        <f t="shared" ca="1" si="41"/>
        <v>#REF!</v>
      </c>
      <c r="AA77" s="35" t="str">
        <f t="shared" ca="1" si="41"/>
        <v>#REF!</v>
      </c>
      <c r="AB77" s="35" t="str">
        <f t="shared" ca="1" si="41"/>
        <v>#REF!</v>
      </c>
      <c r="AC77" s="35" t="str">
        <f t="shared" ca="1" si="41"/>
        <v>#REF!</v>
      </c>
      <c r="AD77" s="35" t="str">
        <f t="shared" ca="1" si="41"/>
        <v>#REF!</v>
      </c>
      <c r="AE77" s="35" t="str">
        <f t="shared" ca="1" si="41"/>
        <v>#REF!</v>
      </c>
      <c r="AF77" s="35" t="str">
        <f t="shared" ca="1" si="41"/>
        <v>#REF!</v>
      </c>
      <c r="AG77" s="35" t="str">
        <f t="shared" ca="1" si="41"/>
        <v>#REF!</v>
      </c>
      <c r="AH77" s="36" t="e">
        <f t="shared" ca="1" si="40"/>
        <v>#VALUE!</v>
      </c>
    </row>
    <row r="78" spans="1:34" ht="13.2">
      <c r="A78" s="32" t="s">
        <v>9</v>
      </c>
      <c r="B78" s="39" t="s">
        <v>78</v>
      </c>
      <c r="C78" s="37" t="s">
        <v>75</v>
      </c>
      <c r="D78" s="35" t="str">
        <f ca="1">IFERROR(__xludf.DUMMYFUNCTION("Projections!$D$34*IMPORTRANGE(""https://docs.google.com/spreadsheets/d/1xsqsPLhBO7fHAdQrQL6i9xl_YzbUswo2xD1VyzEhqBE"",""Urban Forestry DataSheet!C29"")/IMPORTRANGE(""https://docs.google.com/spreadsheets/d/1xsqsPLhBO7fHAdQrQL6i9xl_YzbUswo2xD1VyzEhqBE"",""U"&amp;"rban Forestry DataSheet!C31"")"),"#REF!")</f>
        <v>#REF!</v>
      </c>
      <c r="E78" s="35" t="str">
        <f t="shared" ref="E78:AG78" ca="1" si="42">D78</f>
        <v>#REF!</v>
      </c>
      <c r="F78" s="35" t="str">
        <f t="shared" ca="1" si="42"/>
        <v>#REF!</v>
      </c>
      <c r="G78" s="35" t="str">
        <f t="shared" ca="1" si="42"/>
        <v>#REF!</v>
      </c>
      <c r="H78" s="35" t="str">
        <f t="shared" ca="1" si="42"/>
        <v>#REF!</v>
      </c>
      <c r="I78" s="35" t="str">
        <f t="shared" ca="1" si="42"/>
        <v>#REF!</v>
      </c>
      <c r="J78" s="35" t="str">
        <f t="shared" ca="1" si="42"/>
        <v>#REF!</v>
      </c>
      <c r="K78" s="35" t="str">
        <f t="shared" ca="1" si="42"/>
        <v>#REF!</v>
      </c>
      <c r="L78" s="35" t="str">
        <f t="shared" ca="1" si="42"/>
        <v>#REF!</v>
      </c>
      <c r="M78" s="35" t="str">
        <f t="shared" ca="1" si="42"/>
        <v>#REF!</v>
      </c>
      <c r="N78" s="35" t="str">
        <f t="shared" ca="1" si="42"/>
        <v>#REF!</v>
      </c>
      <c r="O78" s="35" t="str">
        <f t="shared" ca="1" si="42"/>
        <v>#REF!</v>
      </c>
      <c r="P78" s="35" t="str">
        <f t="shared" ca="1" si="42"/>
        <v>#REF!</v>
      </c>
      <c r="Q78" s="35" t="str">
        <f t="shared" ca="1" si="42"/>
        <v>#REF!</v>
      </c>
      <c r="R78" s="35" t="str">
        <f t="shared" ca="1" si="42"/>
        <v>#REF!</v>
      </c>
      <c r="S78" s="35" t="str">
        <f t="shared" ca="1" si="42"/>
        <v>#REF!</v>
      </c>
      <c r="T78" s="35" t="str">
        <f t="shared" ca="1" si="42"/>
        <v>#REF!</v>
      </c>
      <c r="U78" s="35" t="str">
        <f t="shared" ca="1" si="42"/>
        <v>#REF!</v>
      </c>
      <c r="V78" s="35" t="str">
        <f t="shared" ca="1" si="42"/>
        <v>#REF!</v>
      </c>
      <c r="W78" s="35" t="str">
        <f t="shared" ca="1" si="42"/>
        <v>#REF!</v>
      </c>
      <c r="X78" s="35" t="str">
        <f t="shared" ca="1" si="42"/>
        <v>#REF!</v>
      </c>
      <c r="Y78" s="35" t="str">
        <f t="shared" ca="1" si="42"/>
        <v>#REF!</v>
      </c>
      <c r="Z78" s="35" t="str">
        <f t="shared" ca="1" si="42"/>
        <v>#REF!</v>
      </c>
      <c r="AA78" s="35" t="str">
        <f t="shared" ca="1" si="42"/>
        <v>#REF!</v>
      </c>
      <c r="AB78" s="35" t="str">
        <f t="shared" ca="1" si="42"/>
        <v>#REF!</v>
      </c>
      <c r="AC78" s="35" t="str">
        <f t="shared" ca="1" si="42"/>
        <v>#REF!</v>
      </c>
      <c r="AD78" s="35" t="str">
        <f t="shared" ca="1" si="42"/>
        <v>#REF!</v>
      </c>
      <c r="AE78" s="35" t="str">
        <f t="shared" ca="1" si="42"/>
        <v>#REF!</v>
      </c>
      <c r="AF78" s="35" t="str">
        <f t="shared" ca="1" si="42"/>
        <v>#REF!</v>
      </c>
      <c r="AG78" s="35" t="str">
        <f t="shared" ca="1" si="42"/>
        <v>#REF!</v>
      </c>
      <c r="AH78" s="36" t="e">
        <f t="shared" ca="1" si="40"/>
        <v>#VALUE!</v>
      </c>
    </row>
    <row r="79" spans="1:34" ht="13.2">
      <c r="A79" s="32" t="s">
        <v>10</v>
      </c>
      <c r="B79" s="33" t="s">
        <v>43</v>
      </c>
      <c r="C79" s="34" t="s">
        <v>0</v>
      </c>
      <c r="D79" s="35">
        <f t="shared" ref="D79:AG79" si="43">VLOOKUP($C79,emission_factors,COLUMN(D$48)-1,FALSE)*D28/1000000</f>
        <v>1246236.8698602049</v>
      </c>
      <c r="E79" s="35">
        <f t="shared" ca="1" si="43"/>
        <v>1049248.3726789218</v>
      </c>
      <c r="F79" s="35">
        <f t="shared" ca="1" si="43"/>
        <v>965602.6676939989</v>
      </c>
      <c r="G79" s="35">
        <f t="shared" ca="1" si="43"/>
        <v>965406.53032504057</v>
      </c>
      <c r="H79" s="35">
        <f t="shared" ca="1" si="43"/>
        <v>1014780.8521594115</v>
      </c>
      <c r="I79" s="35">
        <f t="shared" ca="1" si="43"/>
        <v>984131.98171681701</v>
      </c>
      <c r="J79" s="35">
        <f t="shared" ca="1" si="43"/>
        <v>950083.70584065944</v>
      </c>
      <c r="K79" s="35">
        <f t="shared" ca="1" si="43"/>
        <v>937501.45773891592</v>
      </c>
      <c r="L79" s="35">
        <f t="shared" ca="1" si="43"/>
        <v>959465.3330986324</v>
      </c>
      <c r="M79" s="35">
        <f t="shared" ca="1" si="43"/>
        <v>985146.66257630801</v>
      </c>
      <c r="N79" s="35">
        <f t="shared" ca="1" si="43"/>
        <v>995653.67086361838</v>
      </c>
      <c r="O79" s="35">
        <f t="shared" ca="1" si="43"/>
        <v>1011252.4285054717</v>
      </c>
      <c r="P79" s="35">
        <f t="shared" ca="1" si="43"/>
        <v>1022894.648314228</v>
      </c>
      <c r="Q79" s="35">
        <f t="shared" ca="1" si="43"/>
        <v>1033126.6131091823</v>
      </c>
      <c r="R79" s="35">
        <f t="shared" ca="1" si="43"/>
        <v>1023550.5024536566</v>
      </c>
      <c r="S79" s="35">
        <f t="shared" ca="1" si="43"/>
        <v>1011262.6693636355</v>
      </c>
      <c r="T79" s="35">
        <f t="shared" ca="1" si="43"/>
        <v>999380.86505053157</v>
      </c>
      <c r="U79" s="35">
        <f t="shared" ca="1" si="43"/>
        <v>981996.00105737825</v>
      </c>
      <c r="V79" s="35">
        <f t="shared" ca="1" si="43"/>
        <v>967667.78655686951</v>
      </c>
      <c r="W79" s="35">
        <f t="shared" ca="1" si="43"/>
        <v>952573.88740771229</v>
      </c>
      <c r="X79" s="35">
        <f t="shared" ca="1" si="43"/>
        <v>940443.36931110977</v>
      </c>
      <c r="Y79" s="35">
        <f t="shared" ca="1" si="43"/>
        <v>928703.55299465475</v>
      </c>
      <c r="Z79" s="35">
        <f t="shared" ca="1" si="43"/>
        <v>920405.86921271717</v>
      </c>
      <c r="AA79" s="35">
        <f t="shared" ca="1" si="43"/>
        <v>909817.72216027649</v>
      </c>
      <c r="AB79" s="35">
        <f t="shared" ca="1" si="43"/>
        <v>903867.59253024624</v>
      </c>
      <c r="AC79" s="35">
        <f t="shared" ca="1" si="43"/>
        <v>893242.61363820313</v>
      </c>
      <c r="AD79" s="35">
        <f t="shared" ca="1" si="43"/>
        <v>884063.85089063272</v>
      </c>
      <c r="AE79" s="35">
        <f t="shared" ca="1" si="43"/>
        <v>879890.21755394118</v>
      </c>
      <c r="AF79" s="35">
        <f t="shared" ca="1" si="43"/>
        <v>869824.84334544034</v>
      </c>
      <c r="AG79" s="35">
        <f t="shared" ca="1" si="43"/>
        <v>859215.25882192666</v>
      </c>
      <c r="AH79" s="36">
        <f t="shared" ca="1" si="40"/>
        <v>-0.31055220752832635</v>
      </c>
    </row>
    <row r="80" spans="1:34" ht="13.2">
      <c r="A80" s="32" t="s">
        <v>10</v>
      </c>
      <c r="B80" s="33" t="s">
        <v>43</v>
      </c>
      <c r="C80" s="34" t="s">
        <v>14</v>
      </c>
      <c r="D80" s="35">
        <f t="shared" ref="D80:AG80" si="44">VLOOKUP($C80,emission_factors,COLUMN(D$48)-1,FALSE)*D29</f>
        <v>673317.0512796453</v>
      </c>
      <c r="E80" s="35">
        <f t="shared" ca="1" si="44"/>
        <v>647114.23367253866</v>
      </c>
      <c r="F80" s="35">
        <f t="shared" ca="1" si="44"/>
        <v>704201.58583772741</v>
      </c>
      <c r="G80" s="35">
        <f t="shared" ca="1" si="44"/>
        <v>705893.02009000571</v>
      </c>
      <c r="H80" s="35">
        <f t="shared" ca="1" si="44"/>
        <v>705919.20839111076</v>
      </c>
      <c r="I80" s="35">
        <f t="shared" ca="1" si="44"/>
        <v>702318.22656421736</v>
      </c>
      <c r="J80" s="35">
        <f t="shared" ca="1" si="44"/>
        <v>697150.84563361085</v>
      </c>
      <c r="K80" s="35">
        <f t="shared" ca="1" si="44"/>
        <v>691026.16789559834</v>
      </c>
      <c r="L80" s="35">
        <f t="shared" ca="1" si="44"/>
        <v>684103.31151935493</v>
      </c>
      <c r="M80" s="35">
        <f t="shared" ca="1" si="44"/>
        <v>677853.40477853594</v>
      </c>
      <c r="N80" s="35">
        <f t="shared" ca="1" si="44"/>
        <v>667706.47481438587</v>
      </c>
      <c r="O80" s="35">
        <f t="shared" ca="1" si="44"/>
        <v>658310.16661890817</v>
      </c>
      <c r="P80" s="35">
        <f t="shared" ca="1" si="44"/>
        <v>648939.42102554021</v>
      </c>
      <c r="Q80" s="35">
        <f t="shared" ca="1" si="44"/>
        <v>640158.38105734251</v>
      </c>
      <c r="R80" s="35">
        <f t="shared" ca="1" si="44"/>
        <v>632100.53325005074</v>
      </c>
      <c r="S80" s="35">
        <f t="shared" ca="1" si="44"/>
        <v>624290.81696219963</v>
      </c>
      <c r="T80" s="35">
        <f t="shared" ca="1" si="44"/>
        <v>616415.37940896791</v>
      </c>
      <c r="U80" s="35">
        <f t="shared" ca="1" si="44"/>
        <v>608625.24470415211</v>
      </c>
      <c r="V80" s="35">
        <f t="shared" ca="1" si="44"/>
        <v>601037.09508103284</v>
      </c>
      <c r="W80" s="35">
        <f t="shared" ca="1" si="44"/>
        <v>593720.99733704643</v>
      </c>
      <c r="X80" s="35">
        <f t="shared" ca="1" si="44"/>
        <v>586573.09751666593</v>
      </c>
      <c r="Y80" s="35">
        <f t="shared" ca="1" si="44"/>
        <v>579561.40398027818</v>
      </c>
      <c r="Z80" s="35">
        <f t="shared" ca="1" si="44"/>
        <v>572641.78899278177</v>
      </c>
      <c r="AA80" s="35">
        <f t="shared" ca="1" si="44"/>
        <v>566099.5448917069</v>
      </c>
      <c r="AB80" s="35">
        <f t="shared" ca="1" si="44"/>
        <v>559504.04631512717</v>
      </c>
      <c r="AC80" s="35">
        <f t="shared" ca="1" si="44"/>
        <v>552908.56451302476</v>
      </c>
      <c r="AD80" s="35">
        <f t="shared" ca="1" si="44"/>
        <v>546303.21550244058</v>
      </c>
      <c r="AE80" s="35">
        <f t="shared" ca="1" si="44"/>
        <v>539728.94777466345</v>
      </c>
      <c r="AF80" s="35">
        <f t="shared" ca="1" si="44"/>
        <v>533137.72833658883</v>
      </c>
      <c r="AG80" s="35">
        <f t="shared" ca="1" si="44"/>
        <v>526561.76904814073</v>
      </c>
      <c r="AH80" s="36">
        <f t="shared" ca="1" si="40"/>
        <v>-0.21795865996946726</v>
      </c>
    </row>
    <row r="81" spans="1:34" ht="13.2">
      <c r="A81" s="32" t="s">
        <v>10</v>
      </c>
      <c r="B81" s="33" t="s">
        <v>45</v>
      </c>
      <c r="C81" s="34" t="s">
        <v>0</v>
      </c>
      <c r="D81" s="35">
        <f t="shared" ref="D81:AG81" si="45">VLOOKUP($C81,emission_factors,COLUMN(D$48)-1,FALSE)*D30/1000000</f>
        <v>1224395.7342628834</v>
      </c>
      <c r="E81" s="35">
        <f t="shared" ca="1" si="45"/>
        <v>1080318.5597928131</v>
      </c>
      <c r="F81" s="35">
        <f t="shared" ca="1" si="45"/>
        <v>961511.06584375305</v>
      </c>
      <c r="G81" s="35">
        <f t="shared" ca="1" si="45"/>
        <v>954196.14560556295</v>
      </c>
      <c r="H81" s="35">
        <f t="shared" ca="1" si="45"/>
        <v>997589.07278879918</v>
      </c>
      <c r="I81" s="35">
        <f t="shared" ca="1" si="45"/>
        <v>961261.11095899623</v>
      </c>
      <c r="J81" s="35">
        <f t="shared" ca="1" si="45"/>
        <v>925897.47649209038</v>
      </c>
      <c r="K81" s="35">
        <f t="shared" ca="1" si="45"/>
        <v>911094.15725268552</v>
      </c>
      <c r="L81" s="35">
        <f t="shared" ca="1" si="45"/>
        <v>929790.61037482682</v>
      </c>
      <c r="M81" s="35">
        <f t="shared" ca="1" si="45"/>
        <v>951035.02443834196</v>
      </c>
      <c r="N81" s="35">
        <f t="shared" ca="1" si="45"/>
        <v>959249.28837300907</v>
      </c>
      <c r="O81" s="35">
        <f t="shared" ca="1" si="45"/>
        <v>972595.28699601139</v>
      </c>
      <c r="P81" s="35">
        <f t="shared" ca="1" si="45"/>
        <v>982457.99975844321</v>
      </c>
      <c r="Q81" s="35">
        <f t="shared" ca="1" si="45"/>
        <v>991152.53787148918</v>
      </c>
      <c r="R81" s="35">
        <f t="shared" ca="1" si="45"/>
        <v>980725.4060903762</v>
      </c>
      <c r="S81" s="35">
        <f t="shared" ca="1" si="45"/>
        <v>967610.60797669273</v>
      </c>
      <c r="T81" s="35">
        <f t="shared" ca="1" si="45"/>
        <v>954546.71898143191</v>
      </c>
      <c r="U81" s="35">
        <f t="shared" ca="1" si="45"/>
        <v>936608.24341347557</v>
      </c>
      <c r="V81" s="35">
        <f t="shared" ca="1" si="45"/>
        <v>921231.67658191675</v>
      </c>
      <c r="W81" s="35">
        <f t="shared" ca="1" si="45"/>
        <v>905198.67203162704</v>
      </c>
      <c r="X81" s="35">
        <f t="shared" ca="1" si="45"/>
        <v>893470.69745733938</v>
      </c>
      <c r="Y81" s="35">
        <f t="shared" ca="1" si="45"/>
        <v>882343.78833726875</v>
      </c>
      <c r="Z81" s="35">
        <f t="shared" ca="1" si="45"/>
        <v>874527.96629664453</v>
      </c>
      <c r="AA81" s="35">
        <f t="shared" ca="1" si="45"/>
        <v>864011.55073289701</v>
      </c>
      <c r="AB81" s="35">
        <f t="shared" ca="1" si="45"/>
        <v>858101.82690680225</v>
      </c>
      <c r="AC81" s="35">
        <f t="shared" ca="1" si="45"/>
        <v>846710.93071769492</v>
      </c>
      <c r="AD81" s="35">
        <f t="shared" ca="1" si="45"/>
        <v>837410.32894535735</v>
      </c>
      <c r="AE81" s="35">
        <f t="shared" ca="1" si="45"/>
        <v>832406.01644810673</v>
      </c>
      <c r="AF81" s="35">
        <f t="shared" ca="1" si="45"/>
        <v>822213.42650179588</v>
      </c>
      <c r="AG81" s="35">
        <f t="shared" ca="1" si="45"/>
        <v>811293.33699753857</v>
      </c>
      <c r="AH81" s="36">
        <f t="shared" ca="1" si="40"/>
        <v>-0.33739287528148953</v>
      </c>
    </row>
    <row r="82" spans="1:34" ht="13.2">
      <c r="A82" s="32" t="s">
        <v>10</v>
      </c>
      <c r="B82" s="33" t="s">
        <v>45</v>
      </c>
      <c r="C82" s="34" t="s">
        <v>14</v>
      </c>
      <c r="D82" s="35">
        <f t="shared" ref="D82:AG82" si="46">VLOOKUP($C82,emission_factors,COLUMN(D$48)-1,FALSE)*D31</f>
        <v>515164.85677418625</v>
      </c>
      <c r="E82" s="35">
        <f t="shared" ca="1" si="46"/>
        <v>530909.3224323903</v>
      </c>
      <c r="F82" s="35">
        <f t="shared" ca="1" si="46"/>
        <v>521965.14743800665</v>
      </c>
      <c r="G82" s="35">
        <f t="shared" ca="1" si="46"/>
        <v>522309.10393852461</v>
      </c>
      <c r="H82" s="35">
        <f t="shared" ca="1" si="46"/>
        <v>523824.00168870261</v>
      </c>
      <c r="I82" s="35">
        <f t="shared" ca="1" si="46"/>
        <v>523191.9321849891</v>
      </c>
      <c r="J82" s="35">
        <f t="shared" ca="1" si="46"/>
        <v>524400.33616438915</v>
      </c>
      <c r="K82" s="35">
        <f t="shared" ca="1" si="46"/>
        <v>523376.21038846998</v>
      </c>
      <c r="L82" s="35">
        <f t="shared" ca="1" si="46"/>
        <v>520525.85061353131</v>
      </c>
      <c r="M82" s="35">
        <f t="shared" ca="1" si="46"/>
        <v>518040.17628459824</v>
      </c>
      <c r="N82" s="35">
        <f t="shared" ca="1" si="46"/>
        <v>513175.20287260233</v>
      </c>
      <c r="O82" s="35">
        <f t="shared" ca="1" si="46"/>
        <v>509059.71939093305</v>
      </c>
      <c r="P82" s="35">
        <f t="shared" ca="1" si="46"/>
        <v>504613.73689708038</v>
      </c>
      <c r="Q82" s="35">
        <f t="shared" ca="1" si="46"/>
        <v>500691.83903602895</v>
      </c>
      <c r="R82" s="35">
        <f t="shared" ca="1" si="46"/>
        <v>497414.25640780421</v>
      </c>
      <c r="S82" s="35">
        <f t="shared" ca="1" si="46"/>
        <v>494084.012838536</v>
      </c>
      <c r="T82" s="35">
        <f t="shared" ca="1" si="46"/>
        <v>490262.43036147614</v>
      </c>
      <c r="U82" s="35">
        <f t="shared" ca="1" si="46"/>
        <v>486203.51762837142</v>
      </c>
      <c r="V82" s="35">
        <f t="shared" ca="1" si="46"/>
        <v>482101.08839588886</v>
      </c>
      <c r="W82" s="35">
        <f t="shared" ca="1" si="46"/>
        <v>478030.08218347392</v>
      </c>
      <c r="X82" s="35">
        <f t="shared" ca="1" si="46"/>
        <v>474104.70039293327</v>
      </c>
      <c r="Y82" s="35">
        <f t="shared" ca="1" si="46"/>
        <v>470290.79304894316</v>
      </c>
      <c r="Z82" s="35">
        <f t="shared" ca="1" si="46"/>
        <v>466491.28367121075</v>
      </c>
      <c r="AA82" s="35">
        <f t="shared" ca="1" si="46"/>
        <v>463015.92729063577</v>
      </c>
      <c r="AB82" s="35">
        <f t="shared" ca="1" si="46"/>
        <v>459472.00622638926</v>
      </c>
      <c r="AC82" s="35">
        <f t="shared" ca="1" si="46"/>
        <v>455831.43642942986</v>
      </c>
      <c r="AD82" s="35">
        <f t="shared" ca="1" si="46"/>
        <v>452094.29586061096</v>
      </c>
      <c r="AE82" s="35">
        <f t="shared" ca="1" si="46"/>
        <v>448341.93445907551</v>
      </c>
      <c r="AF82" s="35">
        <f t="shared" ca="1" si="46"/>
        <v>444496.883078777</v>
      </c>
      <c r="AG82" s="35">
        <f t="shared" ca="1" si="46"/>
        <v>440598.00906710338</v>
      </c>
      <c r="AH82" s="36">
        <f t="shared" ca="1" si="40"/>
        <v>-0.14474366161930952</v>
      </c>
    </row>
    <row r="83" spans="1:34" ht="13.2">
      <c r="A83" s="32" t="s">
        <v>10</v>
      </c>
      <c r="B83" s="33" t="s">
        <v>48</v>
      </c>
      <c r="C83" s="34" t="s">
        <v>0</v>
      </c>
      <c r="D83" s="35">
        <f t="shared" ref="D83:AG83" si="47">VLOOKUP($C83,emission_factors,COLUMN(D$48)-1,FALSE)*D32/1000000</f>
        <v>753614.48109619634</v>
      </c>
      <c r="E83" s="35">
        <f t="shared" ca="1" si="47"/>
        <v>678571.24023857724</v>
      </c>
      <c r="F83" s="35">
        <f t="shared" ca="1" si="47"/>
        <v>617133.8793868674</v>
      </c>
      <c r="G83" s="35">
        <f t="shared" ca="1" si="47"/>
        <v>613387.82511647814</v>
      </c>
      <c r="H83" s="35">
        <f t="shared" ca="1" si="47"/>
        <v>646928.46951075143</v>
      </c>
      <c r="I83" s="35">
        <f t="shared" ca="1" si="47"/>
        <v>631103.51585186762</v>
      </c>
      <c r="J83" s="35">
        <f t="shared" ca="1" si="47"/>
        <v>609567.86562578811</v>
      </c>
      <c r="K83" s="35">
        <f t="shared" ca="1" si="47"/>
        <v>601441.31242123991</v>
      </c>
      <c r="L83" s="35">
        <f t="shared" ca="1" si="47"/>
        <v>617422.40409020497</v>
      </c>
      <c r="M83" s="35">
        <f t="shared" ca="1" si="47"/>
        <v>635108.29099666886</v>
      </c>
      <c r="N83" s="35">
        <f t="shared" ca="1" si="47"/>
        <v>643863.48906654026</v>
      </c>
      <c r="O83" s="35">
        <f t="shared" ca="1" si="47"/>
        <v>655853.08718774305</v>
      </c>
      <c r="P83" s="35">
        <f t="shared" ca="1" si="47"/>
        <v>663874.9582731938</v>
      </c>
      <c r="Q83" s="35">
        <f t="shared" ca="1" si="47"/>
        <v>669925.08948945766</v>
      </c>
      <c r="R83" s="35">
        <f t="shared" ca="1" si="47"/>
        <v>663130.42513469094</v>
      </c>
      <c r="S83" s="35">
        <f t="shared" ca="1" si="47"/>
        <v>654465.10096476274</v>
      </c>
      <c r="T83" s="35">
        <f t="shared" ca="1" si="47"/>
        <v>647056.49080426095</v>
      </c>
      <c r="U83" s="35">
        <f t="shared" ca="1" si="47"/>
        <v>635500.42855417659</v>
      </c>
      <c r="V83" s="35">
        <f t="shared" ca="1" si="47"/>
        <v>625427.24281856825</v>
      </c>
      <c r="W83" s="35">
        <f t="shared" ca="1" si="47"/>
        <v>614738.78107988765</v>
      </c>
      <c r="X83" s="35">
        <f t="shared" ca="1" si="47"/>
        <v>607571.04661985207</v>
      </c>
      <c r="Y83" s="35">
        <f t="shared" ca="1" si="47"/>
        <v>601034.00375011051</v>
      </c>
      <c r="Z83" s="35">
        <f t="shared" ca="1" si="47"/>
        <v>595822.87383739999</v>
      </c>
      <c r="AA83" s="35">
        <f t="shared" ca="1" si="47"/>
        <v>587878.67685201124</v>
      </c>
      <c r="AB83" s="35">
        <f t="shared" ca="1" si="47"/>
        <v>583106.70096694678</v>
      </c>
      <c r="AC83" s="35">
        <f t="shared" ca="1" si="47"/>
        <v>575423.06637148559</v>
      </c>
      <c r="AD83" s="35">
        <f t="shared" ca="1" si="47"/>
        <v>567288.83478450752</v>
      </c>
      <c r="AE83" s="35">
        <f t="shared" ca="1" si="47"/>
        <v>561274.30168280518</v>
      </c>
      <c r="AF83" s="35">
        <f t="shared" ca="1" si="47"/>
        <v>552414.69620591472</v>
      </c>
      <c r="AG83" s="35">
        <f t="shared" ca="1" si="47"/>
        <v>544965.70452835807</v>
      </c>
      <c r="AH83" s="36">
        <f t="shared" ca="1" si="40"/>
        <v>-0.27686407546779207</v>
      </c>
    </row>
    <row r="84" spans="1:34" ht="13.2">
      <c r="A84" s="32" t="s">
        <v>10</v>
      </c>
      <c r="B84" s="33" t="s">
        <v>48</v>
      </c>
      <c r="C84" s="34" t="s">
        <v>14</v>
      </c>
      <c r="D84" s="35">
        <f t="shared" ref="D84:AG84" si="48">VLOOKUP($C84,emission_factors,COLUMN(D$48)-1,FALSE)*D33</f>
        <v>280979.57288267126</v>
      </c>
      <c r="E84" s="35">
        <f t="shared" ca="1" si="48"/>
        <v>286454.90884239634</v>
      </c>
      <c r="F84" s="35">
        <f t="shared" ca="1" si="48"/>
        <v>296112.87944423046</v>
      </c>
      <c r="G84" s="35">
        <f t="shared" ca="1" si="48"/>
        <v>295701.41076304612</v>
      </c>
      <c r="H84" s="35">
        <f t="shared" ca="1" si="48"/>
        <v>296263.8304165568</v>
      </c>
      <c r="I84" s="35">
        <f t="shared" ca="1" si="48"/>
        <v>298430.71378557605</v>
      </c>
      <c r="J84" s="35">
        <f t="shared" ca="1" si="48"/>
        <v>296892.05836172815</v>
      </c>
      <c r="K84" s="35">
        <f t="shared" ca="1" si="48"/>
        <v>295544.79988564004</v>
      </c>
      <c r="L84" s="35">
        <f t="shared" ca="1" si="48"/>
        <v>295340.79538475408</v>
      </c>
      <c r="M84" s="35">
        <f t="shared" ca="1" si="48"/>
        <v>295307.65644784243</v>
      </c>
      <c r="N84" s="35">
        <f t="shared" ca="1" si="48"/>
        <v>292990.01808629901</v>
      </c>
      <c r="O84" s="35">
        <f t="shared" ca="1" si="48"/>
        <v>291738.01248929236</v>
      </c>
      <c r="P84" s="35">
        <f t="shared" ca="1" si="48"/>
        <v>289419.6617609766</v>
      </c>
      <c r="Q84" s="35">
        <f t="shared" ca="1" si="48"/>
        <v>287276.86650228832</v>
      </c>
      <c r="R84" s="35">
        <f t="shared" ca="1" si="48"/>
        <v>286110.16582531971</v>
      </c>
      <c r="S84" s="35">
        <f t="shared" ca="1" si="48"/>
        <v>284483.63151892036</v>
      </c>
      <c r="T84" s="35">
        <f t="shared" ca="1" si="48"/>
        <v>283274.47667115502</v>
      </c>
      <c r="U84" s="35">
        <f t="shared" ca="1" si="48"/>
        <v>282462.81998304464</v>
      </c>
      <c r="V84" s="35">
        <f t="shared" ca="1" si="48"/>
        <v>281217.71701816987</v>
      </c>
      <c r="W84" s="35">
        <f t="shared" ca="1" si="48"/>
        <v>280318.22854134877</v>
      </c>
      <c r="X84" s="35">
        <f t="shared" ca="1" si="48"/>
        <v>280115.39135396766</v>
      </c>
      <c r="Y84" s="35">
        <f t="shared" ca="1" si="48"/>
        <v>280571.6332621745</v>
      </c>
      <c r="Z84" s="35">
        <f t="shared" ca="1" si="48"/>
        <v>281392.05239856022</v>
      </c>
      <c r="AA84" s="35">
        <f t="shared" ca="1" si="48"/>
        <v>280739.54040959518</v>
      </c>
      <c r="AB84" s="35">
        <f t="shared" ca="1" si="48"/>
        <v>281740.94419435924</v>
      </c>
      <c r="AC84" s="35">
        <f t="shared" ca="1" si="48"/>
        <v>281686.92966923129</v>
      </c>
      <c r="AD84" s="35">
        <f t="shared" ca="1" si="48"/>
        <v>280644.3541330875</v>
      </c>
      <c r="AE84" s="35">
        <f t="shared" ca="1" si="48"/>
        <v>280147.33811783418</v>
      </c>
      <c r="AF84" s="35">
        <f t="shared" ca="1" si="48"/>
        <v>279740.33851393603</v>
      </c>
      <c r="AG84" s="35">
        <f t="shared" ca="1" si="48"/>
        <v>280662.64469981147</v>
      </c>
      <c r="AH84" s="36">
        <f t="shared" ca="1" si="40"/>
        <v>-1.1279402968988371E-3</v>
      </c>
    </row>
    <row r="85" spans="1:34" ht="13.2">
      <c r="A85" s="32" t="s">
        <v>10</v>
      </c>
      <c r="B85" s="33" t="s">
        <v>48</v>
      </c>
      <c r="C85" s="37" t="s">
        <v>72</v>
      </c>
      <c r="D85" s="35">
        <f ca="1">IFERROR(__xludf.DUMMYFUNCTION("sum(importrange(""https://docs.google.com/spreadsheets/d/1xsqsPLhBO7fHAdQrQL6i9xl_YzbUswo2xD1VyzEhqBE"",""Additional Emission QA!G3:I7""))-sum(importrange(""https://docs.google.com/spreadsheets/d/1xsqsPLhBO7fHAdQrQL6i9xl_YzbUswo2xD1VyzEhqBE"",""Additional"&amp;" Emission QA!G4:I4""))"),55138.825)</f>
        <v>55138.824999999997</v>
      </c>
      <c r="E85" s="35">
        <f t="shared" ref="E85:AG85" ca="1" si="49">D85</f>
        <v>55138.824999999997</v>
      </c>
      <c r="F85" s="35">
        <f t="shared" ca="1" si="49"/>
        <v>55138.824999999997</v>
      </c>
      <c r="G85" s="35">
        <f t="shared" ca="1" si="49"/>
        <v>55138.824999999997</v>
      </c>
      <c r="H85" s="35">
        <f t="shared" ca="1" si="49"/>
        <v>55138.824999999997</v>
      </c>
      <c r="I85" s="35">
        <f t="shared" ca="1" si="49"/>
        <v>55138.824999999997</v>
      </c>
      <c r="J85" s="35">
        <f t="shared" ca="1" si="49"/>
        <v>55138.824999999997</v>
      </c>
      <c r="K85" s="35">
        <f t="shared" ca="1" si="49"/>
        <v>55138.824999999997</v>
      </c>
      <c r="L85" s="35">
        <f t="shared" ca="1" si="49"/>
        <v>55138.824999999997</v>
      </c>
      <c r="M85" s="35">
        <f t="shared" ca="1" si="49"/>
        <v>55138.824999999997</v>
      </c>
      <c r="N85" s="35">
        <f t="shared" ca="1" si="49"/>
        <v>55138.824999999997</v>
      </c>
      <c r="O85" s="35">
        <f t="shared" ca="1" si="49"/>
        <v>55138.824999999997</v>
      </c>
      <c r="P85" s="35">
        <f t="shared" ca="1" si="49"/>
        <v>55138.824999999997</v>
      </c>
      <c r="Q85" s="35">
        <f t="shared" ca="1" si="49"/>
        <v>55138.824999999997</v>
      </c>
      <c r="R85" s="35">
        <f t="shared" ca="1" si="49"/>
        <v>55138.824999999997</v>
      </c>
      <c r="S85" s="35">
        <f t="shared" ca="1" si="49"/>
        <v>55138.824999999997</v>
      </c>
      <c r="T85" s="35">
        <f t="shared" ca="1" si="49"/>
        <v>55138.824999999997</v>
      </c>
      <c r="U85" s="35">
        <f t="shared" ca="1" si="49"/>
        <v>55138.824999999997</v>
      </c>
      <c r="V85" s="35">
        <f t="shared" ca="1" si="49"/>
        <v>55138.824999999997</v>
      </c>
      <c r="W85" s="35">
        <f t="shared" ca="1" si="49"/>
        <v>55138.824999999997</v>
      </c>
      <c r="X85" s="35">
        <f t="shared" ca="1" si="49"/>
        <v>55138.824999999997</v>
      </c>
      <c r="Y85" s="35">
        <f t="shared" ca="1" si="49"/>
        <v>55138.824999999997</v>
      </c>
      <c r="Z85" s="35">
        <f t="shared" ca="1" si="49"/>
        <v>55138.824999999997</v>
      </c>
      <c r="AA85" s="35">
        <f t="shared" ca="1" si="49"/>
        <v>55138.824999999997</v>
      </c>
      <c r="AB85" s="35">
        <f t="shared" ca="1" si="49"/>
        <v>55138.824999999997</v>
      </c>
      <c r="AC85" s="35">
        <f t="shared" ca="1" si="49"/>
        <v>55138.824999999997</v>
      </c>
      <c r="AD85" s="35">
        <f t="shared" ca="1" si="49"/>
        <v>55138.824999999997</v>
      </c>
      <c r="AE85" s="35">
        <f t="shared" ca="1" si="49"/>
        <v>55138.824999999997</v>
      </c>
      <c r="AF85" s="35">
        <f t="shared" ca="1" si="49"/>
        <v>55138.824999999997</v>
      </c>
      <c r="AG85" s="35">
        <f t="shared" ca="1" si="49"/>
        <v>55138.824999999997</v>
      </c>
      <c r="AH85" s="36">
        <f t="shared" ca="1" si="40"/>
        <v>0</v>
      </c>
    </row>
    <row r="86" spans="1:34" ht="13.2">
      <c r="A86" s="32" t="s">
        <v>10</v>
      </c>
      <c r="B86" s="38" t="s">
        <v>73</v>
      </c>
      <c r="C86" s="37" t="s">
        <v>72</v>
      </c>
      <c r="D86" s="35" t="s">
        <v>728</v>
      </c>
      <c r="E86" s="35" t="s">
        <v>728</v>
      </c>
      <c r="F86" s="35" t="s">
        <v>728</v>
      </c>
      <c r="G86" s="35" t="s">
        <v>728</v>
      </c>
      <c r="H86" s="35" t="s">
        <v>728</v>
      </c>
      <c r="I86" s="35" t="s">
        <v>728</v>
      </c>
      <c r="J86" s="35" t="s">
        <v>728</v>
      </c>
      <c r="K86" s="35" t="s">
        <v>728</v>
      </c>
      <c r="L86" s="35" t="s">
        <v>728</v>
      </c>
      <c r="M86" s="35" t="s">
        <v>728</v>
      </c>
      <c r="N86" s="35" t="s">
        <v>728</v>
      </c>
      <c r="O86" s="35" t="s">
        <v>728</v>
      </c>
      <c r="P86" s="35" t="s">
        <v>728</v>
      </c>
      <c r="Q86" s="35" t="s">
        <v>728</v>
      </c>
      <c r="R86" s="35" t="s">
        <v>728</v>
      </c>
      <c r="S86" s="35" t="s">
        <v>728</v>
      </c>
      <c r="T86" s="35" t="s">
        <v>728</v>
      </c>
      <c r="U86" s="35" t="s">
        <v>728</v>
      </c>
      <c r="V86" s="35" t="s">
        <v>728</v>
      </c>
      <c r="W86" s="35" t="s">
        <v>728</v>
      </c>
      <c r="X86" s="35" t="s">
        <v>728</v>
      </c>
      <c r="Y86" s="35" t="s">
        <v>728</v>
      </c>
      <c r="Z86" s="35" t="s">
        <v>728</v>
      </c>
      <c r="AA86" s="35" t="s">
        <v>728</v>
      </c>
      <c r="AB86" s="35" t="s">
        <v>728</v>
      </c>
      <c r="AC86" s="35" t="s">
        <v>728</v>
      </c>
      <c r="AD86" s="35" t="s">
        <v>728</v>
      </c>
      <c r="AE86" s="35" t="s">
        <v>728</v>
      </c>
      <c r="AF86" s="35" t="s">
        <v>728</v>
      </c>
      <c r="AG86" s="35" t="s">
        <v>728</v>
      </c>
      <c r="AH86" s="36" t="e">
        <f t="shared" si="40"/>
        <v>#VALUE!</v>
      </c>
    </row>
    <row r="87" spans="1:34" ht="13.2">
      <c r="A87" s="32" t="s">
        <v>10</v>
      </c>
      <c r="B87" s="33" t="s">
        <v>50</v>
      </c>
      <c r="C87" s="37" t="s">
        <v>0</v>
      </c>
      <c r="D87" s="35">
        <f t="shared" ref="D87:AG87" si="50">VLOOKUP($C87,emission_factors,COLUMN(D$48)-1,FALSE)*D34/1000000</f>
        <v>0</v>
      </c>
      <c r="E87" s="35">
        <f t="shared" ca="1" si="50"/>
        <v>1978.3206908344366</v>
      </c>
      <c r="F87" s="35">
        <f t="shared" ca="1" si="50"/>
        <v>2295.9614746943957</v>
      </c>
      <c r="G87" s="35">
        <f t="shared" ca="1" si="50"/>
        <v>2875.2855998640362</v>
      </c>
      <c r="H87" s="35">
        <f t="shared" ca="1" si="50"/>
        <v>3668.9894625968545</v>
      </c>
      <c r="I87" s="35">
        <f t="shared" ca="1" si="50"/>
        <v>4224.8352730749393</v>
      </c>
      <c r="J87" s="35">
        <f t="shared" ca="1" si="50"/>
        <v>4732.581902987964</v>
      </c>
      <c r="K87" s="35">
        <f t="shared" ca="1" si="50"/>
        <v>5306.6819892158619</v>
      </c>
      <c r="L87" s="35">
        <f t="shared" ca="1" si="50"/>
        <v>6081.4989595035031</v>
      </c>
      <c r="M87" s="35">
        <f t="shared" ca="1" si="50"/>
        <v>6930.7985544052708</v>
      </c>
      <c r="N87" s="35">
        <f t="shared" ca="1" si="50"/>
        <v>7699.711841335894</v>
      </c>
      <c r="O87" s="35">
        <f t="shared" ca="1" si="50"/>
        <v>8504.9094950540893</v>
      </c>
      <c r="P87" s="35">
        <f t="shared" ca="1" si="50"/>
        <v>9284.7450038494317</v>
      </c>
      <c r="Q87" s="35">
        <f t="shared" ca="1" si="50"/>
        <v>10054.509312708566</v>
      </c>
      <c r="R87" s="35">
        <f t="shared" ca="1" si="50"/>
        <v>10611.198988521928</v>
      </c>
      <c r="S87" s="35">
        <f t="shared" ca="1" si="50"/>
        <v>11117.636455919295</v>
      </c>
      <c r="T87" s="35">
        <f t="shared" ca="1" si="50"/>
        <v>11601.826338825769</v>
      </c>
      <c r="U87" s="35">
        <f t="shared" ca="1" si="50"/>
        <v>11998.486955120552</v>
      </c>
      <c r="V87" s="35">
        <f t="shared" ca="1" si="50"/>
        <v>12408.060001774054</v>
      </c>
      <c r="W87" s="35">
        <f t="shared" ca="1" si="50"/>
        <v>12794.7715476139</v>
      </c>
      <c r="X87" s="35">
        <f t="shared" ca="1" si="50"/>
        <v>13194.882707832852</v>
      </c>
      <c r="Y87" s="35">
        <f t="shared" ca="1" si="50"/>
        <v>13564.983752785232</v>
      </c>
      <c r="Z87" s="35">
        <f t="shared" ca="1" si="50"/>
        <v>13964.745967043784</v>
      </c>
      <c r="AA87" s="35">
        <f t="shared" ca="1" si="50"/>
        <v>14311.667761214998</v>
      </c>
      <c r="AB87" s="35">
        <f t="shared" ca="1" si="50"/>
        <v>14698.117604078192</v>
      </c>
      <c r="AC87" s="35">
        <f t="shared" ca="1" si="50"/>
        <v>14990.728570765987</v>
      </c>
      <c r="AD87" s="35">
        <f t="shared" ca="1" si="50"/>
        <v>15282.545608932822</v>
      </c>
      <c r="AE87" s="35">
        <f t="shared" ca="1" si="50"/>
        <v>15631.515319827531</v>
      </c>
      <c r="AF87" s="35">
        <f t="shared" ca="1" si="50"/>
        <v>15857.185157271428</v>
      </c>
      <c r="AG87" s="35">
        <f t="shared" si="50"/>
        <v>16053.215909620862</v>
      </c>
      <c r="AH87" s="36" t="e">
        <f t="shared" si="40"/>
        <v>#DIV/0!</v>
      </c>
    </row>
    <row r="88" spans="1:34" ht="13.2">
      <c r="A88" s="32" t="s">
        <v>10</v>
      </c>
      <c r="B88" s="33" t="s">
        <v>50</v>
      </c>
      <c r="C88" s="34" t="s">
        <v>46</v>
      </c>
      <c r="D88" s="35">
        <f t="shared" ref="D88:AG88" ca="1" si="51">VLOOKUP($C88,emission_factors,COLUMN(D$48)-1,FALSE)*D35</f>
        <v>1485491.6663432277</v>
      </c>
      <c r="E88" s="35">
        <f t="shared" ca="1" si="51"/>
        <v>1525595.0181748278</v>
      </c>
      <c r="F88" s="35">
        <f t="shared" ca="1" si="51"/>
        <v>1550418.5781533639</v>
      </c>
      <c r="G88" s="35">
        <f t="shared" ca="1" si="51"/>
        <v>1541535.0669507941</v>
      </c>
      <c r="H88" s="35">
        <f t="shared" ca="1" si="51"/>
        <v>1530686.5787121344</v>
      </c>
      <c r="I88" s="35">
        <f t="shared" ca="1" si="51"/>
        <v>1516205.8366078255</v>
      </c>
      <c r="J88" s="35">
        <f t="shared" ca="1" si="51"/>
        <v>1499181.6637172005</v>
      </c>
      <c r="K88" s="35">
        <f t="shared" ca="1" si="51"/>
        <v>1481277.5963682367</v>
      </c>
      <c r="L88" s="35">
        <f t="shared" ca="1" si="51"/>
        <v>1464914.4690854608</v>
      </c>
      <c r="M88" s="35">
        <f t="shared" ca="1" si="51"/>
        <v>1450368.4498125203</v>
      </c>
      <c r="N88" s="35">
        <f t="shared" ca="1" si="51"/>
        <v>1427773.1325623961</v>
      </c>
      <c r="O88" s="35">
        <f t="shared" ca="1" si="51"/>
        <v>1404813.025503878</v>
      </c>
      <c r="P88" s="35">
        <f t="shared" ca="1" si="51"/>
        <v>1384780.6572949865</v>
      </c>
      <c r="Q88" s="35">
        <f t="shared" ca="1" si="51"/>
        <v>1365573.6843714188</v>
      </c>
      <c r="R88" s="35">
        <f t="shared" ca="1" si="51"/>
        <v>1346443.7284204676</v>
      </c>
      <c r="S88" s="35">
        <f t="shared" ca="1" si="51"/>
        <v>1328565.476288863</v>
      </c>
      <c r="T88" s="35">
        <f t="shared" ca="1" si="51"/>
        <v>1312573.3103570838</v>
      </c>
      <c r="U88" s="35">
        <f t="shared" ca="1" si="51"/>
        <v>1297453.1476283362</v>
      </c>
      <c r="V88" s="35">
        <f t="shared" ca="1" si="51"/>
        <v>1283803.5770216337</v>
      </c>
      <c r="W88" s="35">
        <f t="shared" ca="1" si="51"/>
        <v>1271145.4416245611</v>
      </c>
      <c r="X88" s="35">
        <f t="shared" ca="1" si="51"/>
        <v>1259150.2764937596</v>
      </c>
      <c r="Y88" s="35">
        <f t="shared" ca="1" si="51"/>
        <v>1247979.7504177892</v>
      </c>
      <c r="Z88" s="35">
        <f t="shared" ca="1" si="51"/>
        <v>1237315.0445563863</v>
      </c>
      <c r="AA88" s="35">
        <f t="shared" ca="1" si="51"/>
        <v>1227533.2556091938</v>
      </c>
      <c r="AB88" s="35">
        <f t="shared" ca="1" si="51"/>
        <v>1218699.2532883098</v>
      </c>
      <c r="AC88" s="35">
        <f t="shared" ca="1" si="51"/>
        <v>1211133.1519629888</v>
      </c>
      <c r="AD88" s="35">
        <f t="shared" ca="1" si="51"/>
        <v>1203537.0721443973</v>
      </c>
      <c r="AE88" s="35">
        <f t="shared" ca="1" si="51"/>
        <v>1196091.5630821143</v>
      </c>
      <c r="AF88" s="35">
        <f t="shared" ca="1" si="51"/>
        <v>1189748.8566681589</v>
      </c>
      <c r="AG88" s="35">
        <f t="shared" ca="1" si="51"/>
        <v>1184650.4999386196</v>
      </c>
      <c r="AH88" s="36">
        <f t="shared" ca="1" si="40"/>
        <v>-0.20251959214633375</v>
      </c>
    </row>
    <row r="89" spans="1:34" ht="13.2">
      <c r="A89" s="32" t="s">
        <v>10</v>
      </c>
      <c r="B89" s="33" t="s">
        <v>50</v>
      </c>
      <c r="C89" s="34" t="s">
        <v>51</v>
      </c>
      <c r="D89" s="35">
        <f t="shared" ref="D89:AG89" si="52">VLOOKUP($C89,emission_factors,COLUMN(D$48)-1,FALSE)*D36</f>
        <v>373424.0622567375</v>
      </c>
      <c r="E89" s="35">
        <f t="shared" ca="1" si="52"/>
        <v>375425.45219220372</v>
      </c>
      <c r="F89" s="35">
        <f t="shared" ca="1" si="52"/>
        <v>378809.31758854364</v>
      </c>
      <c r="G89" s="35">
        <f t="shared" ca="1" si="52"/>
        <v>374673.19677875336</v>
      </c>
      <c r="H89" s="35">
        <f t="shared" ca="1" si="52"/>
        <v>372199.57103887806</v>
      </c>
      <c r="I89" s="35">
        <f t="shared" ca="1" si="52"/>
        <v>368805.46641813067</v>
      </c>
      <c r="J89" s="35">
        <f t="shared" ca="1" si="52"/>
        <v>364032.24593525426</v>
      </c>
      <c r="K89" s="35">
        <f t="shared" ca="1" si="52"/>
        <v>359203.5332008226</v>
      </c>
      <c r="L89" s="35">
        <f t="shared" ca="1" si="52"/>
        <v>354172.65291426238</v>
      </c>
      <c r="M89" s="35">
        <f t="shared" ca="1" si="52"/>
        <v>349172.12725695217</v>
      </c>
      <c r="N89" s="35">
        <f t="shared" ca="1" si="52"/>
        <v>341370.70546677103</v>
      </c>
      <c r="O89" s="35">
        <f t="shared" ca="1" si="52"/>
        <v>334433.90677281196</v>
      </c>
      <c r="P89" s="35">
        <f t="shared" ca="1" si="52"/>
        <v>328041.27201320522</v>
      </c>
      <c r="Q89" s="35">
        <f t="shared" ca="1" si="52"/>
        <v>321537.21753597684</v>
      </c>
      <c r="R89" s="35">
        <f t="shared" ca="1" si="52"/>
        <v>315586.52321016387</v>
      </c>
      <c r="S89" s="35">
        <f t="shared" ca="1" si="52"/>
        <v>309826.57285398996</v>
      </c>
      <c r="T89" s="35">
        <f t="shared" ca="1" si="52"/>
        <v>304946.18587756035</v>
      </c>
      <c r="U89" s="35">
        <f t="shared" ca="1" si="52"/>
        <v>300432.73489109677</v>
      </c>
      <c r="V89" s="35">
        <f t="shared" ca="1" si="52"/>
        <v>295808.98473356199</v>
      </c>
      <c r="W89" s="35">
        <f t="shared" ca="1" si="52"/>
        <v>291624.83115027501</v>
      </c>
      <c r="X89" s="35">
        <f t="shared" ca="1" si="52"/>
        <v>287631.62254723249</v>
      </c>
      <c r="Y89" s="35">
        <f t="shared" ca="1" si="52"/>
        <v>284322.12273702293</v>
      </c>
      <c r="Z89" s="35">
        <f t="shared" ca="1" si="52"/>
        <v>281141.99321442517</v>
      </c>
      <c r="AA89" s="35">
        <f t="shared" ca="1" si="52"/>
        <v>277791.12740853848</v>
      </c>
      <c r="AB89" s="35">
        <f t="shared" ca="1" si="52"/>
        <v>274426.25209562585</v>
      </c>
      <c r="AC89" s="35">
        <f t="shared" ca="1" si="52"/>
        <v>271377.52057775238</v>
      </c>
      <c r="AD89" s="35">
        <f t="shared" ca="1" si="52"/>
        <v>267919.1204990379</v>
      </c>
      <c r="AE89" s="35">
        <f t="shared" ca="1" si="52"/>
        <v>264096.17965061165</v>
      </c>
      <c r="AF89" s="35">
        <f t="shared" ca="1" si="52"/>
        <v>260856.45255942066</v>
      </c>
      <c r="AG89" s="35">
        <f t="shared" ca="1" si="52"/>
        <v>258210.53395219386</v>
      </c>
      <c r="AH89" s="36">
        <f t="shared" ca="1" si="40"/>
        <v>-0.30853268428463437</v>
      </c>
    </row>
    <row r="90" spans="1:34" ht="13.2">
      <c r="A90" s="32" t="s">
        <v>10</v>
      </c>
      <c r="B90" s="39" t="s">
        <v>74</v>
      </c>
      <c r="C90" s="37" t="s">
        <v>75</v>
      </c>
      <c r="D90" s="35" t="s">
        <v>728</v>
      </c>
      <c r="E90" s="35" t="s">
        <v>728</v>
      </c>
      <c r="F90" s="35" t="s">
        <v>728</v>
      </c>
      <c r="G90" s="35" t="s">
        <v>728</v>
      </c>
      <c r="H90" s="35" t="s">
        <v>728</v>
      </c>
      <c r="I90" s="35" t="s">
        <v>728</v>
      </c>
      <c r="J90" s="35" t="s">
        <v>728</v>
      </c>
      <c r="K90" s="35" t="s">
        <v>728</v>
      </c>
      <c r="L90" s="35" t="s">
        <v>728</v>
      </c>
      <c r="M90" s="35" t="s">
        <v>728</v>
      </c>
      <c r="N90" s="35" t="s">
        <v>728</v>
      </c>
      <c r="O90" s="35" t="s">
        <v>728</v>
      </c>
      <c r="P90" s="35" t="s">
        <v>728</v>
      </c>
      <c r="Q90" s="35" t="s">
        <v>728</v>
      </c>
      <c r="R90" s="35" t="s">
        <v>728</v>
      </c>
      <c r="S90" s="35" t="s">
        <v>728</v>
      </c>
      <c r="T90" s="35" t="s">
        <v>728</v>
      </c>
      <c r="U90" s="35" t="s">
        <v>728</v>
      </c>
      <c r="V90" s="35" t="s">
        <v>728</v>
      </c>
      <c r="W90" s="35" t="s">
        <v>728</v>
      </c>
      <c r="X90" s="35" t="s">
        <v>728</v>
      </c>
      <c r="Y90" s="35" t="s">
        <v>728</v>
      </c>
      <c r="Z90" s="35" t="s">
        <v>728</v>
      </c>
      <c r="AA90" s="35" t="s">
        <v>728</v>
      </c>
      <c r="AB90" s="35" t="s">
        <v>728</v>
      </c>
      <c r="AC90" s="35" t="s">
        <v>728</v>
      </c>
      <c r="AD90" s="35" t="s">
        <v>728</v>
      </c>
      <c r="AE90" s="35" t="s">
        <v>728</v>
      </c>
      <c r="AF90" s="35" t="s">
        <v>728</v>
      </c>
      <c r="AG90" s="35" t="s">
        <v>728</v>
      </c>
      <c r="AH90" s="36" t="e">
        <f t="shared" si="40"/>
        <v>#VALUE!</v>
      </c>
    </row>
    <row r="91" spans="1:34" ht="13.2">
      <c r="A91" s="32" t="s">
        <v>10</v>
      </c>
      <c r="B91" s="39" t="s">
        <v>76</v>
      </c>
      <c r="C91" s="37" t="s">
        <v>75</v>
      </c>
      <c r="D91" s="35" t="e">
        <v>#REF!</v>
      </c>
      <c r="E91" s="35" t="e">
        <v>#REF!</v>
      </c>
      <c r="F91" s="35" t="e">
        <v>#REF!</v>
      </c>
      <c r="G91" s="35" t="e">
        <v>#REF!</v>
      </c>
      <c r="H91" s="35" t="e">
        <v>#REF!</v>
      </c>
      <c r="I91" s="35" t="e">
        <v>#REF!</v>
      </c>
      <c r="J91" s="35" t="e">
        <v>#REF!</v>
      </c>
      <c r="K91" s="35" t="e">
        <v>#REF!</v>
      </c>
      <c r="L91" s="35" t="e">
        <v>#REF!</v>
      </c>
      <c r="M91" s="35" t="e">
        <v>#REF!</v>
      </c>
      <c r="N91" s="35" t="e">
        <v>#REF!</v>
      </c>
      <c r="O91" s="35" t="e">
        <v>#REF!</v>
      </c>
      <c r="P91" s="35" t="e">
        <v>#REF!</v>
      </c>
      <c r="Q91" s="35" t="e">
        <v>#REF!</v>
      </c>
      <c r="R91" s="35" t="e">
        <v>#REF!</v>
      </c>
      <c r="S91" s="35" t="e">
        <v>#REF!</v>
      </c>
      <c r="T91" s="35" t="e">
        <v>#REF!</v>
      </c>
      <c r="U91" s="35" t="e">
        <v>#REF!</v>
      </c>
      <c r="V91" s="35" t="e">
        <v>#REF!</v>
      </c>
      <c r="W91" s="35" t="e">
        <v>#REF!</v>
      </c>
      <c r="X91" s="35" t="e">
        <v>#REF!</v>
      </c>
      <c r="Y91" s="35" t="e">
        <v>#REF!</v>
      </c>
      <c r="Z91" s="35" t="e">
        <v>#REF!</v>
      </c>
      <c r="AA91" s="35" t="e">
        <v>#REF!</v>
      </c>
      <c r="AB91" s="35" t="e">
        <v>#REF!</v>
      </c>
      <c r="AC91" s="35" t="e">
        <v>#REF!</v>
      </c>
      <c r="AD91" s="35" t="e">
        <v>#REF!</v>
      </c>
      <c r="AE91" s="35" t="e">
        <v>#REF!</v>
      </c>
      <c r="AF91" s="35" t="e">
        <v>#REF!</v>
      </c>
      <c r="AG91" s="35" t="e">
        <v>#REF!</v>
      </c>
      <c r="AH91" s="36" t="e">
        <f t="shared" si="40"/>
        <v>#REF!</v>
      </c>
    </row>
    <row r="92" spans="1:34" ht="13.2">
      <c r="A92" s="32" t="s">
        <v>10</v>
      </c>
      <c r="B92" s="39" t="s">
        <v>77</v>
      </c>
      <c r="C92" s="37" t="s">
        <v>75</v>
      </c>
      <c r="D92" s="35" t="str">
        <f ca="1">IFERROR(__xludf.DUMMYFUNCTION("Projections!D$33*importrange(""https://docs.google.com/spreadsheets/d/1xsqsPLhBO7fHAdQrQL6i9xl_YzbUswo2xD1VyzEhqBE"",""Agriculture DataSheet!J26"")/importrange(""https://docs.google.com/spreadsheets/d/1xsqsPLhBO7fHAdQrQL6i9xl_YzbUswo2xD1VyzEhqBE"",""Agric"&amp;"ulture DataSheet!J27"")"),"#REF!")</f>
        <v>#REF!</v>
      </c>
      <c r="E92" s="35" t="str">
        <f t="shared" ref="E92:AG92" ca="1" si="53">D92</f>
        <v>#REF!</v>
      </c>
      <c r="F92" s="35" t="str">
        <f t="shared" ca="1" si="53"/>
        <v>#REF!</v>
      </c>
      <c r="G92" s="35" t="str">
        <f t="shared" ca="1" si="53"/>
        <v>#REF!</v>
      </c>
      <c r="H92" s="35" t="str">
        <f t="shared" ca="1" si="53"/>
        <v>#REF!</v>
      </c>
      <c r="I92" s="35" t="str">
        <f t="shared" ca="1" si="53"/>
        <v>#REF!</v>
      </c>
      <c r="J92" s="35" t="str">
        <f t="shared" ca="1" si="53"/>
        <v>#REF!</v>
      </c>
      <c r="K92" s="35" t="str">
        <f t="shared" ca="1" si="53"/>
        <v>#REF!</v>
      </c>
      <c r="L92" s="35" t="str">
        <f t="shared" ca="1" si="53"/>
        <v>#REF!</v>
      </c>
      <c r="M92" s="35" t="str">
        <f t="shared" ca="1" si="53"/>
        <v>#REF!</v>
      </c>
      <c r="N92" s="35" t="str">
        <f t="shared" ca="1" si="53"/>
        <v>#REF!</v>
      </c>
      <c r="O92" s="35" t="str">
        <f t="shared" ca="1" si="53"/>
        <v>#REF!</v>
      </c>
      <c r="P92" s="35" t="str">
        <f t="shared" ca="1" si="53"/>
        <v>#REF!</v>
      </c>
      <c r="Q92" s="35" t="str">
        <f t="shared" ca="1" si="53"/>
        <v>#REF!</v>
      </c>
      <c r="R92" s="35" t="str">
        <f t="shared" ca="1" si="53"/>
        <v>#REF!</v>
      </c>
      <c r="S92" s="35" t="str">
        <f t="shared" ca="1" si="53"/>
        <v>#REF!</v>
      </c>
      <c r="T92" s="35" t="str">
        <f t="shared" ca="1" si="53"/>
        <v>#REF!</v>
      </c>
      <c r="U92" s="35" t="str">
        <f t="shared" ca="1" si="53"/>
        <v>#REF!</v>
      </c>
      <c r="V92" s="35" t="str">
        <f t="shared" ca="1" si="53"/>
        <v>#REF!</v>
      </c>
      <c r="W92" s="35" t="str">
        <f t="shared" ca="1" si="53"/>
        <v>#REF!</v>
      </c>
      <c r="X92" s="35" t="str">
        <f t="shared" ca="1" si="53"/>
        <v>#REF!</v>
      </c>
      <c r="Y92" s="35" t="str">
        <f t="shared" ca="1" si="53"/>
        <v>#REF!</v>
      </c>
      <c r="Z92" s="35" t="str">
        <f t="shared" ca="1" si="53"/>
        <v>#REF!</v>
      </c>
      <c r="AA92" s="35" t="str">
        <f t="shared" ca="1" si="53"/>
        <v>#REF!</v>
      </c>
      <c r="AB92" s="35" t="str">
        <f t="shared" ca="1" si="53"/>
        <v>#REF!</v>
      </c>
      <c r="AC92" s="35" t="str">
        <f t="shared" ca="1" si="53"/>
        <v>#REF!</v>
      </c>
      <c r="AD92" s="35" t="str">
        <f t="shared" ca="1" si="53"/>
        <v>#REF!</v>
      </c>
      <c r="AE92" s="35" t="str">
        <f t="shared" ca="1" si="53"/>
        <v>#REF!</v>
      </c>
      <c r="AF92" s="35" t="str">
        <f t="shared" ca="1" si="53"/>
        <v>#REF!</v>
      </c>
      <c r="AG92" s="35" t="str">
        <f t="shared" ca="1" si="53"/>
        <v>#REF!</v>
      </c>
      <c r="AH92" s="36" t="e">
        <f t="shared" ca="1" si="40"/>
        <v>#VALUE!</v>
      </c>
    </row>
    <row r="93" spans="1:34" ht="13.2">
      <c r="A93" s="32" t="s">
        <v>10</v>
      </c>
      <c r="B93" s="39" t="s">
        <v>78</v>
      </c>
      <c r="C93" s="37" t="s">
        <v>75</v>
      </c>
      <c r="D93" s="35" t="str">
        <f ca="1">IFERROR(__xludf.DUMMYFUNCTION("Projections!$D$34*IMPORTRANGE(""https://docs.google.com/spreadsheets/d/1xsqsPLhBO7fHAdQrQL6i9xl_YzbUswo2xD1VyzEhqBE"",""Urban Forestry DataSheet!C30"")/IMPORTRANGE(""https://docs.google.com/spreadsheets/d/1xsqsPLhBO7fHAdQrQL6i9xl_YzbUswo2xD1VyzEhqBE"",""U"&amp;"rban Forestry DataSheet!C31"")"),"#REF!")</f>
        <v>#REF!</v>
      </c>
      <c r="E93" s="35" t="str">
        <f t="shared" ref="E93:AG93" ca="1" si="54">D93</f>
        <v>#REF!</v>
      </c>
      <c r="F93" s="35" t="str">
        <f t="shared" ca="1" si="54"/>
        <v>#REF!</v>
      </c>
      <c r="G93" s="35" t="str">
        <f t="shared" ca="1" si="54"/>
        <v>#REF!</v>
      </c>
      <c r="H93" s="35" t="str">
        <f t="shared" ca="1" si="54"/>
        <v>#REF!</v>
      </c>
      <c r="I93" s="35" t="str">
        <f t="shared" ca="1" si="54"/>
        <v>#REF!</v>
      </c>
      <c r="J93" s="35" t="str">
        <f t="shared" ca="1" si="54"/>
        <v>#REF!</v>
      </c>
      <c r="K93" s="35" t="str">
        <f t="shared" ca="1" si="54"/>
        <v>#REF!</v>
      </c>
      <c r="L93" s="35" t="str">
        <f t="shared" ca="1" si="54"/>
        <v>#REF!</v>
      </c>
      <c r="M93" s="35" t="str">
        <f t="shared" ca="1" si="54"/>
        <v>#REF!</v>
      </c>
      <c r="N93" s="35" t="str">
        <f t="shared" ca="1" si="54"/>
        <v>#REF!</v>
      </c>
      <c r="O93" s="35" t="str">
        <f t="shared" ca="1" si="54"/>
        <v>#REF!</v>
      </c>
      <c r="P93" s="35" t="str">
        <f t="shared" ca="1" si="54"/>
        <v>#REF!</v>
      </c>
      <c r="Q93" s="35" t="str">
        <f t="shared" ca="1" si="54"/>
        <v>#REF!</v>
      </c>
      <c r="R93" s="35" t="str">
        <f t="shared" ca="1" si="54"/>
        <v>#REF!</v>
      </c>
      <c r="S93" s="35" t="str">
        <f t="shared" ca="1" si="54"/>
        <v>#REF!</v>
      </c>
      <c r="T93" s="35" t="str">
        <f t="shared" ca="1" si="54"/>
        <v>#REF!</v>
      </c>
      <c r="U93" s="35" t="str">
        <f t="shared" ca="1" si="54"/>
        <v>#REF!</v>
      </c>
      <c r="V93" s="35" t="str">
        <f t="shared" ca="1" si="54"/>
        <v>#REF!</v>
      </c>
      <c r="W93" s="35" t="str">
        <f t="shared" ca="1" si="54"/>
        <v>#REF!</v>
      </c>
      <c r="X93" s="35" t="str">
        <f t="shared" ca="1" si="54"/>
        <v>#REF!</v>
      </c>
      <c r="Y93" s="35" t="str">
        <f t="shared" ca="1" si="54"/>
        <v>#REF!</v>
      </c>
      <c r="Z93" s="35" t="str">
        <f t="shared" ca="1" si="54"/>
        <v>#REF!</v>
      </c>
      <c r="AA93" s="35" t="str">
        <f t="shared" ca="1" si="54"/>
        <v>#REF!</v>
      </c>
      <c r="AB93" s="35" t="str">
        <f t="shared" ca="1" si="54"/>
        <v>#REF!</v>
      </c>
      <c r="AC93" s="35" t="str">
        <f t="shared" ca="1" si="54"/>
        <v>#REF!</v>
      </c>
      <c r="AD93" s="35" t="str">
        <f t="shared" ca="1" si="54"/>
        <v>#REF!</v>
      </c>
      <c r="AE93" s="35" t="str">
        <f t="shared" ca="1" si="54"/>
        <v>#REF!</v>
      </c>
      <c r="AF93" s="35" t="str">
        <f t="shared" ca="1" si="54"/>
        <v>#REF!</v>
      </c>
      <c r="AG93" s="35" t="str">
        <f t="shared" ca="1" si="54"/>
        <v>#REF!</v>
      </c>
      <c r="AH93" s="36" t="e">
        <f t="shared" ca="1" si="40"/>
        <v>#VALUE!</v>
      </c>
    </row>
    <row r="94" spans="1:34" ht="13.2">
      <c r="A94" s="40" t="s">
        <v>36</v>
      </c>
      <c r="B94" s="296" t="s">
        <v>43</v>
      </c>
      <c r="C94" s="34" t="s">
        <v>0</v>
      </c>
      <c r="D94" s="35">
        <f t="shared" ref="D94:AG94" si="55">D49+D64+D79</f>
        <v>1896434.2056333921</v>
      </c>
      <c r="E94" s="35">
        <f t="shared" ca="1" si="55"/>
        <v>1600801.1577392106</v>
      </c>
      <c r="F94" s="35">
        <f t="shared" ca="1" si="55"/>
        <v>1476442.437911934</v>
      </c>
      <c r="G94" s="35">
        <f t="shared" ca="1" si="55"/>
        <v>1479634.8542114128</v>
      </c>
      <c r="H94" s="35">
        <f t="shared" ca="1" si="55"/>
        <v>1559013.7345204984</v>
      </c>
      <c r="I94" s="35">
        <f t="shared" ca="1" si="55"/>
        <v>1515558.5357031822</v>
      </c>
      <c r="J94" s="35">
        <f t="shared" ca="1" si="55"/>
        <v>1466657.2723232089</v>
      </c>
      <c r="K94" s="35">
        <f t="shared" ca="1" si="55"/>
        <v>1450740.4011222054</v>
      </c>
      <c r="L94" s="35">
        <f t="shared" ca="1" si="55"/>
        <v>1488335.6214616867</v>
      </c>
      <c r="M94" s="35">
        <f t="shared" ca="1" si="55"/>
        <v>1531913.4915118706</v>
      </c>
      <c r="N94" s="35">
        <f t="shared" ca="1" si="55"/>
        <v>1552102.1219310607</v>
      </c>
      <c r="O94" s="35">
        <f t="shared" ca="1" si="55"/>
        <v>1580345.4667310114</v>
      </c>
      <c r="P94" s="35">
        <f t="shared" ca="1" si="55"/>
        <v>1602526.1340408246</v>
      </c>
      <c r="Q94" s="35">
        <f t="shared" ca="1" si="55"/>
        <v>1622598.7977701665</v>
      </c>
      <c r="R94" s="35">
        <f t="shared" ca="1" si="55"/>
        <v>1611582.2703729146</v>
      </c>
      <c r="S94" s="35">
        <f t="shared" ca="1" si="55"/>
        <v>1596232.8227535156</v>
      </c>
      <c r="T94" s="35">
        <f t="shared" ca="1" si="55"/>
        <v>1581447.0902749116</v>
      </c>
      <c r="U94" s="35">
        <f t="shared" ca="1" si="55"/>
        <v>1557861.1781416165</v>
      </c>
      <c r="V94" s="35">
        <f t="shared" ca="1" si="55"/>
        <v>1539022.5813293522</v>
      </c>
      <c r="W94" s="35">
        <f t="shared" ca="1" si="55"/>
        <v>1518877.7231301977</v>
      </c>
      <c r="X94" s="35">
        <f t="shared" ca="1" si="55"/>
        <v>1503373.9995378575</v>
      </c>
      <c r="Y94" s="35">
        <f t="shared" ca="1" si="55"/>
        <v>1488414.8048098765</v>
      </c>
      <c r="Z94" s="35">
        <f t="shared" ca="1" si="55"/>
        <v>1478909.26882364</v>
      </c>
      <c r="AA94" s="35">
        <f t="shared" ca="1" si="55"/>
        <v>1465663.7815094129</v>
      </c>
      <c r="AB94" s="35">
        <f t="shared" ca="1" si="55"/>
        <v>1459842.4953974825</v>
      </c>
      <c r="AC94" s="35">
        <f t="shared" ca="1" si="55"/>
        <v>1446422.988809593</v>
      </c>
      <c r="AD94" s="35">
        <f t="shared" ca="1" si="55"/>
        <v>1435285.4184090488</v>
      </c>
      <c r="AE94" s="35">
        <f t="shared" ca="1" si="55"/>
        <v>1432236.1623164797</v>
      </c>
      <c r="AF94" s="35">
        <f t="shared" ca="1" si="55"/>
        <v>1419554.91229705</v>
      </c>
      <c r="AG94" s="35">
        <f t="shared" ca="1" si="55"/>
        <v>1405916.3024278751</v>
      </c>
      <c r="AH94" s="36">
        <f t="shared" ca="1" si="40"/>
        <v>-0.25865273983585862</v>
      </c>
    </row>
    <row r="95" spans="1:34" ht="13.2">
      <c r="A95" s="40"/>
      <c r="B95" s="297"/>
      <c r="C95" s="34" t="s">
        <v>14</v>
      </c>
      <c r="D95" s="35">
        <f t="shared" ref="D95:AG95" si="56">D50+D65+D80</f>
        <v>930259.97189973202</v>
      </c>
      <c r="E95" s="35">
        <f t="shared" ca="1" si="56"/>
        <v>895914.37174976431</v>
      </c>
      <c r="F95" s="35">
        <f t="shared" ca="1" si="56"/>
        <v>976526.30780164048</v>
      </c>
      <c r="G95" s="35">
        <f t="shared" ca="1" si="56"/>
        <v>980756.92641856102</v>
      </c>
      <c r="H95" s="35">
        <f t="shared" ca="1" si="56"/>
        <v>982698.43127838802</v>
      </c>
      <c r="I95" s="35">
        <f t="shared" ca="1" si="56"/>
        <v>979611.79138178565</v>
      </c>
      <c r="J95" s="35">
        <f t="shared" ca="1" si="56"/>
        <v>974336.35113339662</v>
      </c>
      <c r="K95" s="35">
        <f t="shared" ca="1" si="56"/>
        <v>967708.72452615935</v>
      </c>
      <c r="L95" s="35">
        <f t="shared" ca="1" si="56"/>
        <v>959943.17646643752</v>
      </c>
      <c r="M95" s="35">
        <f t="shared" ca="1" si="56"/>
        <v>953093.01574859978</v>
      </c>
      <c r="N95" s="35">
        <f t="shared" ca="1" si="56"/>
        <v>940750.87128740281</v>
      </c>
      <c r="O95" s="35">
        <f t="shared" ca="1" si="56"/>
        <v>929418.28844617051</v>
      </c>
      <c r="P95" s="35">
        <f t="shared" ca="1" si="56"/>
        <v>918079.71288419329</v>
      </c>
      <c r="Q95" s="35">
        <f t="shared" ca="1" si="56"/>
        <v>907531.47634718311</v>
      </c>
      <c r="R95" s="35">
        <f t="shared" ca="1" si="56"/>
        <v>897967.18433771119</v>
      </c>
      <c r="S95" s="35">
        <f t="shared" ca="1" si="56"/>
        <v>888719.30447516846</v>
      </c>
      <c r="T95" s="35">
        <f t="shared" ca="1" si="56"/>
        <v>879343.81080283504</v>
      </c>
      <c r="U95" s="35">
        <f t="shared" ca="1" si="56"/>
        <v>870054.79613608564</v>
      </c>
      <c r="V95" s="35">
        <f t="shared" ca="1" si="56"/>
        <v>861019.14808232058</v>
      </c>
      <c r="W95" s="35">
        <f t="shared" ca="1" si="56"/>
        <v>852338.51643666974</v>
      </c>
      <c r="X95" s="35">
        <f t="shared" ca="1" si="56"/>
        <v>843866.25298824767</v>
      </c>
      <c r="Y95" s="35">
        <f t="shared" ca="1" si="56"/>
        <v>835557.64558749041</v>
      </c>
      <c r="Z95" s="35">
        <f t="shared" ca="1" si="56"/>
        <v>827350.14716276946</v>
      </c>
      <c r="AA95" s="35">
        <f t="shared" ca="1" si="56"/>
        <v>819655.62590478966</v>
      </c>
      <c r="AB95" s="35">
        <f t="shared" ca="1" si="56"/>
        <v>811855.08696328918</v>
      </c>
      <c r="AC95" s="35">
        <f t="shared" ca="1" si="56"/>
        <v>804024.88681934145</v>
      </c>
      <c r="AD95" s="35">
        <f t="shared" ca="1" si="56"/>
        <v>796150.39447873714</v>
      </c>
      <c r="AE95" s="35">
        <f t="shared" ca="1" si="56"/>
        <v>788290.77267075586</v>
      </c>
      <c r="AF95" s="35">
        <f t="shared" ca="1" si="56"/>
        <v>780376.01656689215</v>
      </c>
      <c r="AG95" s="35">
        <f t="shared" ca="1" si="56"/>
        <v>772452.71310345479</v>
      </c>
      <c r="AH95" s="36">
        <f t="shared" ca="1" si="40"/>
        <v>-0.1696378040151624</v>
      </c>
    </row>
    <row r="96" spans="1:34" ht="13.2">
      <c r="A96" s="40"/>
      <c r="B96" s="296" t="s">
        <v>45</v>
      </c>
      <c r="C96" s="34" t="s">
        <v>0</v>
      </c>
      <c r="D96" s="35">
        <f t="shared" ref="D96:AG96" si="57">D51+D66+D81</f>
        <v>1616672.6378678558</v>
      </c>
      <c r="E96" s="35">
        <f t="shared" ca="1" si="57"/>
        <v>1428835.3935274691</v>
      </c>
      <c r="F96" s="35">
        <f t="shared" ca="1" si="57"/>
        <v>1273846.6776067708</v>
      </c>
      <c r="G96" s="35">
        <f t="shared" ca="1" si="57"/>
        <v>1266322.8957008296</v>
      </c>
      <c r="H96" s="35">
        <f t="shared" ca="1" si="57"/>
        <v>1326187.9692568677</v>
      </c>
      <c r="I96" s="35">
        <f t="shared" ca="1" si="57"/>
        <v>1280116.4021909777</v>
      </c>
      <c r="J96" s="35">
        <f t="shared" ca="1" si="57"/>
        <v>1235162.5685956143</v>
      </c>
      <c r="K96" s="35">
        <f t="shared" ca="1" si="57"/>
        <v>1217535.132552939</v>
      </c>
      <c r="L96" s="35">
        <f t="shared" ca="1" si="57"/>
        <v>1244695.4534967071</v>
      </c>
      <c r="M96" s="35">
        <f t="shared" ca="1" si="57"/>
        <v>1275386.7871650825</v>
      </c>
      <c r="N96" s="35">
        <f t="shared" ca="1" si="57"/>
        <v>1288707.2976878048</v>
      </c>
      <c r="O96" s="35">
        <f t="shared" ca="1" si="57"/>
        <v>1308982.4018353298</v>
      </c>
      <c r="P96" s="35">
        <f t="shared" ca="1" si="57"/>
        <v>1324632.5016248347</v>
      </c>
      <c r="Q96" s="35">
        <f t="shared" ca="1" si="57"/>
        <v>1338761.0807705598</v>
      </c>
      <c r="R96" s="35">
        <f t="shared" ca="1" si="57"/>
        <v>1327069.0528677285</v>
      </c>
      <c r="S96" s="35">
        <f t="shared" ca="1" si="57"/>
        <v>1311696.8441122721</v>
      </c>
      <c r="T96" s="35">
        <f t="shared" ca="1" si="57"/>
        <v>1296342.1784143501</v>
      </c>
      <c r="U96" s="35">
        <f t="shared" ca="1" si="57"/>
        <v>1274303.791958557</v>
      </c>
      <c r="V96" s="35">
        <f t="shared" ca="1" si="57"/>
        <v>1255685.1197843344</v>
      </c>
      <c r="W96" s="35">
        <f t="shared" ca="1" si="57"/>
        <v>1236110.7952392253</v>
      </c>
      <c r="X96" s="35">
        <f t="shared" ca="1" si="57"/>
        <v>1222353.7470275601</v>
      </c>
      <c r="Y96" s="35">
        <f t="shared" ca="1" si="57"/>
        <v>1209370.3468129621</v>
      </c>
      <c r="Z96" s="35">
        <f t="shared" ca="1" si="57"/>
        <v>1200888.2281558225</v>
      </c>
      <c r="AA96" s="35">
        <f t="shared" ca="1" si="57"/>
        <v>1188664.3074414302</v>
      </c>
      <c r="AB96" s="35">
        <f t="shared" ca="1" si="57"/>
        <v>1182747.3322509127</v>
      </c>
      <c r="AC96" s="35">
        <f t="shared" ca="1" si="57"/>
        <v>1169248.7445419347</v>
      </c>
      <c r="AD96" s="35">
        <f t="shared" ca="1" si="57"/>
        <v>1158592.895772489</v>
      </c>
      <c r="AE96" s="35">
        <f t="shared" ca="1" si="57"/>
        <v>1153857.1550938569</v>
      </c>
      <c r="AF96" s="35">
        <f t="shared" ca="1" si="57"/>
        <v>1141898.6207705103</v>
      </c>
      <c r="AG96" s="35">
        <f t="shared" ca="1" si="57"/>
        <v>1128886.2527300525</v>
      </c>
      <c r="AH96" s="36">
        <f t="shared" ca="1" si="40"/>
        <v>-0.30172242277887446</v>
      </c>
    </row>
    <row r="97" spans="1:209" ht="13.2">
      <c r="A97" s="40"/>
      <c r="B97" s="297"/>
      <c r="C97" s="34" t="s">
        <v>14</v>
      </c>
      <c r="D97" s="35">
        <f t="shared" ref="D97:AG97" si="58">D52+D67+D82</f>
        <v>693831.2230966182</v>
      </c>
      <c r="E97" s="35">
        <f t="shared" ca="1" si="58"/>
        <v>716245.45398735069</v>
      </c>
      <c r="F97" s="35">
        <f t="shared" ca="1" si="58"/>
        <v>705493.27814388415</v>
      </c>
      <c r="G97" s="35">
        <f t="shared" ca="1" si="58"/>
        <v>707235.84513935575</v>
      </c>
      <c r="H97" s="35">
        <f t="shared" ca="1" si="58"/>
        <v>710570.20705712447</v>
      </c>
      <c r="I97" s="35">
        <f t="shared" ca="1" si="58"/>
        <v>711012.46564704995</v>
      </c>
      <c r="J97" s="35">
        <f t="shared" ca="1" si="58"/>
        <v>713955.85409883992</v>
      </c>
      <c r="K97" s="35">
        <f t="shared" ca="1" si="58"/>
        <v>713878.99070017936</v>
      </c>
      <c r="L97" s="35">
        <f t="shared" ca="1" si="58"/>
        <v>711318.45508223784</v>
      </c>
      <c r="M97" s="35">
        <f t="shared" ca="1" si="58"/>
        <v>709248.84148660512</v>
      </c>
      <c r="N97" s="35">
        <f t="shared" ca="1" si="58"/>
        <v>703923.09184648283</v>
      </c>
      <c r="O97" s="35">
        <f t="shared" ca="1" si="58"/>
        <v>699606.50322958746</v>
      </c>
      <c r="P97" s="35">
        <f t="shared" ca="1" si="58"/>
        <v>694823.30365082063</v>
      </c>
      <c r="Q97" s="35">
        <f t="shared" ca="1" si="58"/>
        <v>690745.27106393466</v>
      </c>
      <c r="R97" s="35">
        <f t="shared" ca="1" si="58"/>
        <v>687541.94594845059</v>
      </c>
      <c r="S97" s="35">
        <f t="shared" ca="1" si="58"/>
        <v>684256.7575831865</v>
      </c>
      <c r="T97" s="35">
        <f t="shared" ca="1" si="58"/>
        <v>680282.83875059139</v>
      </c>
      <c r="U97" s="35">
        <f t="shared" ca="1" si="58"/>
        <v>675967.94760603923</v>
      </c>
      <c r="V97" s="35">
        <f t="shared" ca="1" si="58"/>
        <v>671578.99288296513</v>
      </c>
      <c r="W97" s="35">
        <f t="shared" ca="1" si="58"/>
        <v>667219.68274348881</v>
      </c>
      <c r="X97" s="35">
        <f t="shared" ca="1" si="58"/>
        <v>663049.23034127511</v>
      </c>
      <c r="Y97" s="35">
        <f t="shared" ca="1" si="58"/>
        <v>659021.03460094903</v>
      </c>
      <c r="Z97" s="35">
        <f t="shared" ca="1" si="58"/>
        <v>655000.12446206273</v>
      </c>
      <c r="AA97" s="35">
        <f t="shared" ca="1" si="58"/>
        <v>651420.56744688563</v>
      </c>
      <c r="AB97" s="35">
        <f t="shared" ca="1" si="58"/>
        <v>647733.53028194688</v>
      </c>
      <c r="AC97" s="35">
        <f t="shared" ca="1" si="58"/>
        <v>643898.81595623214</v>
      </c>
      <c r="AD97" s="35">
        <f t="shared" ca="1" si="58"/>
        <v>639915.60246624309</v>
      </c>
      <c r="AE97" s="35">
        <f t="shared" ca="1" si="58"/>
        <v>635897.86181105161</v>
      </c>
      <c r="AF97" s="35">
        <f t="shared" ca="1" si="58"/>
        <v>631735.68147485843</v>
      </c>
      <c r="AG97" s="35">
        <f t="shared" ca="1" si="58"/>
        <v>627483.25870202982</v>
      </c>
      <c r="AH97" s="36">
        <f t="shared" ca="1" si="40"/>
        <v>-9.5625509757938945E-2</v>
      </c>
    </row>
    <row r="98" spans="1:209" ht="13.2">
      <c r="A98" s="40"/>
      <c r="B98" s="296" t="s">
        <v>48</v>
      </c>
      <c r="C98" s="34" t="s">
        <v>0</v>
      </c>
      <c r="D98" s="35">
        <f t="shared" ref="D98:AG98" si="59">D53+D68+D83</f>
        <v>1402684.5525667444</v>
      </c>
      <c r="E98" s="35">
        <f t="shared" ca="1" si="59"/>
        <v>1266489.3171632676</v>
      </c>
      <c r="F98" s="35">
        <f t="shared" ca="1" si="59"/>
        <v>1154994.6306769168</v>
      </c>
      <c r="G98" s="35">
        <f t="shared" ca="1" si="59"/>
        <v>1151323.9857536037</v>
      </c>
      <c r="H98" s="35">
        <f t="shared" ca="1" si="59"/>
        <v>1217770.13936924</v>
      </c>
      <c r="I98" s="35">
        <f t="shared" ca="1" si="59"/>
        <v>1191404.7536713635</v>
      </c>
      <c r="J98" s="35">
        <f t="shared" ca="1" si="59"/>
        <v>1154118.3251702068</v>
      </c>
      <c r="K98" s="35">
        <f t="shared" ca="1" si="59"/>
        <v>1142079.2406723923</v>
      </c>
      <c r="L98" s="35">
        <f t="shared" ca="1" si="59"/>
        <v>1175857.8867931324</v>
      </c>
      <c r="M98" s="35">
        <f t="shared" ca="1" si="59"/>
        <v>1213114.4101637462</v>
      </c>
      <c r="N98" s="35">
        <f t="shared" ca="1" si="59"/>
        <v>1233518.8189763986</v>
      </c>
      <c r="O98" s="35">
        <f t="shared" ca="1" si="59"/>
        <v>1260255.145376646</v>
      </c>
      <c r="P98" s="35">
        <f t="shared" ca="1" si="59"/>
        <v>1279512.87511662</v>
      </c>
      <c r="Q98" s="35">
        <f t="shared" ca="1" si="59"/>
        <v>1295079.7007737062</v>
      </c>
      <c r="R98" s="35">
        <f t="shared" ca="1" si="59"/>
        <v>1285828.6501977399</v>
      </c>
      <c r="S98" s="35">
        <f t="shared" ca="1" si="59"/>
        <v>1272883.1418532655</v>
      </c>
      <c r="T98" s="35">
        <f t="shared" ca="1" si="59"/>
        <v>1262293.3811410624</v>
      </c>
      <c r="U98" s="35">
        <f t="shared" ca="1" si="59"/>
        <v>1243530.8615326211</v>
      </c>
      <c r="V98" s="35">
        <f t="shared" ca="1" si="59"/>
        <v>1227571.3257713933</v>
      </c>
      <c r="W98" s="35">
        <f t="shared" ca="1" si="59"/>
        <v>1210310.1521448053</v>
      </c>
      <c r="X98" s="35">
        <f t="shared" ca="1" si="59"/>
        <v>1199879.0141192744</v>
      </c>
      <c r="Y98" s="35">
        <f t="shared" ca="1" si="59"/>
        <v>1190622.2396292901</v>
      </c>
      <c r="Z98" s="35">
        <f t="shared" ca="1" si="59"/>
        <v>1183949.7080246885</v>
      </c>
      <c r="AA98" s="35">
        <f t="shared" ca="1" si="59"/>
        <v>1171798.5462826281</v>
      </c>
      <c r="AB98" s="35">
        <f t="shared" ca="1" si="59"/>
        <v>1165910.3675070032</v>
      </c>
      <c r="AC98" s="35">
        <f t="shared" ca="1" si="59"/>
        <v>1154142.3581380555</v>
      </c>
      <c r="AD98" s="35">
        <f t="shared" ca="1" si="59"/>
        <v>1141411.4383610161</v>
      </c>
      <c r="AE98" s="35">
        <f t="shared" ca="1" si="59"/>
        <v>1132888.4932016814</v>
      </c>
      <c r="AF98" s="35">
        <f t="shared" ca="1" si="59"/>
        <v>1118535.4998758468</v>
      </c>
      <c r="AG98" s="35">
        <f t="shared" ca="1" si="59"/>
        <v>1106931.0595841929</v>
      </c>
      <c r="AH98" s="36">
        <f t="shared" ca="1" si="40"/>
        <v>-0.21084818567464655</v>
      </c>
    </row>
    <row r="99" spans="1:209" ht="13.2">
      <c r="A99" s="40"/>
      <c r="B99" s="298"/>
      <c r="C99" s="34" t="s">
        <v>14</v>
      </c>
      <c r="D99" s="35">
        <f t="shared" ref="D99:AG99" si="60">D54+D69+D84</f>
        <v>617060.95356480172</v>
      </c>
      <c r="E99" s="35">
        <f t="shared" ca="1" si="60"/>
        <v>631076.23779806029</v>
      </c>
      <c r="F99" s="35">
        <f t="shared" ca="1" si="60"/>
        <v>654364.68825711287</v>
      </c>
      <c r="G99" s="35">
        <f t="shared" ca="1" si="60"/>
        <v>655621.897848216</v>
      </c>
      <c r="H99" s="35">
        <f t="shared" ca="1" si="60"/>
        <v>659037.92988694273</v>
      </c>
      <c r="I99" s="35">
        <f t="shared" ca="1" si="60"/>
        <v>666032.20401198801</v>
      </c>
      <c r="J99" s="35">
        <f t="shared" ca="1" si="60"/>
        <v>664828.60177321103</v>
      </c>
      <c r="K99" s="35">
        <f t="shared" ca="1" si="60"/>
        <v>664042.42642744631</v>
      </c>
      <c r="L99" s="35">
        <f t="shared" ca="1" si="60"/>
        <v>665809.41001194704</v>
      </c>
      <c r="M99" s="35">
        <f t="shared" ca="1" si="60"/>
        <v>667970.47386646946</v>
      </c>
      <c r="N99" s="35">
        <f t="shared" ca="1" si="60"/>
        <v>664994.35745870415</v>
      </c>
      <c r="O99" s="35">
        <f t="shared" ca="1" si="60"/>
        <v>664406.82696071756</v>
      </c>
      <c r="P99" s="35">
        <f t="shared" ca="1" si="60"/>
        <v>661393.33871043846</v>
      </c>
      <c r="Q99" s="35">
        <f t="shared" ca="1" si="60"/>
        <v>658757.4124793238</v>
      </c>
      <c r="R99" s="35">
        <f t="shared" ca="1" si="60"/>
        <v>658332.44253442914</v>
      </c>
      <c r="S99" s="35">
        <f t="shared" ca="1" si="60"/>
        <v>656848.42764648213</v>
      </c>
      <c r="T99" s="35">
        <f t="shared" ca="1" si="60"/>
        <v>656312.93337964232</v>
      </c>
      <c r="U99" s="35">
        <f t="shared" ca="1" si="60"/>
        <v>656689.86793356738</v>
      </c>
      <c r="V99" s="35">
        <f t="shared" ca="1" si="60"/>
        <v>656063.46724198991</v>
      </c>
      <c r="W99" s="35">
        <f t="shared" ca="1" si="60"/>
        <v>656234.55864369182</v>
      </c>
      <c r="X99" s="35">
        <f t="shared" ca="1" si="60"/>
        <v>658030.38404877123</v>
      </c>
      <c r="Y99" s="35">
        <f t="shared" ca="1" si="60"/>
        <v>661379.84858757979</v>
      </c>
      <c r="Z99" s="35">
        <f t="shared" ca="1" si="60"/>
        <v>665606.28732232202</v>
      </c>
      <c r="AA99" s="35">
        <f t="shared" ca="1" si="60"/>
        <v>666388.39625416766</v>
      </c>
      <c r="AB99" s="35">
        <f t="shared" ca="1" si="60"/>
        <v>671086.39873333927</v>
      </c>
      <c r="AC99" s="35">
        <f t="shared" ca="1" si="60"/>
        <v>673310.29703322472</v>
      </c>
      <c r="AD99" s="35">
        <f t="shared" ca="1" si="60"/>
        <v>673193.4124617991</v>
      </c>
      <c r="AE99" s="35">
        <f t="shared" ca="1" si="60"/>
        <v>674377.97887130105</v>
      </c>
      <c r="AF99" s="35">
        <f t="shared" ca="1" si="60"/>
        <v>675785.07004560065</v>
      </c>
      <c r="AG99" s="35">
        <f t="shared" ca="1" si="60"/>
        <v>680400.25285942387</v>
      </c>
      <c r="AH99" s="36">
        <f t="shared" ca="1" si="40"/>
        <v>0.10264674653080356</v>
      </c>
    </row>
    <row r="100" spans="1:209" ht="13.2">
      <c r="A100" s="40"/>
      <c r="B100" s="297"/>
      <c r="C100" s="37" t="s">
        <v>72</v>
      </c>
      <c r="D100" s="35">
        <f t="shared" ref="D100:AG100" ca="1" si="61">D55+D70+D85</f>
        <v>569202.866107382</v>
      </c>
      <c r="E100" s="35">
        <f t="shared" ca="1" si="61"/>
        <v>569202.866107382</v>
      </c>
      <c r="F100" s="35">
        <f t="shared" ca="1" si="61"/>
        <v>569202.866107382</v>
      </c>
      <c r="G100" s="35">
        <f t="shared" ca="1" si="61"/>
        <v>569202.866107382</v>
      </c>
      <c r="H100" s="35">
        <f t="shared" ca="1" si="61"/>
        <v>569202.866107382</v>
      </c>
      <c r="I100" s="35">
        <f t="shared" ca="1" si="61"/>
        <v>569202.866107382</v>
      </c>
      <c r="J100" s="35">
        <f t="shared" ca="1" si="61"/>
        <v>569202.866107382</v>
      </c>
      <c r="K100" s="35">
        <f t="shared" ca="1" si="61"/>
        <v>569202.866107382</v>
      </c>
      <c r="L100" s="35">
        <f t="shared" ca="1" si="61"/>
        <v>569202.866107382</v>
      </c>
      <c r="M100" s="35">
        <f t="shared" ca="1" si="61"/>
        <v>569202.866107382</v>
      </c>
      <c r="N100" s="35">
        <f t="shared" ca="1" si="61"/>
        <v>569202.866107382</v>
      </c>
      <c r="O100" s="35">
        <f t="shared" ca="1" si="61"/>
        <v>569202.866107382</v>
      </c>
      <c r="P100" s="35">
        <f t="shared" ca="1" si="61"/>
        <v>569202.866107382</v>
      </c>
      <c r="Q100" s="35">
        <f t="shared" ca="1" si="61"/>
        <v>569202.866107382</v>
      </c>
      <c r="R100" s="35">
        <f t="shared" ca="1" si="61"/>
        <v>569202.866107382</v>
      </c>
      <c r="S100" s="35">
        <f t="shared" ca="1" si="61"/>
        <v>569202.866107382</v>
      </c>
      <c r="T100" s="35">
        <f t="shared" ca="1" si="61"/>
        <v>569202.866107382</v>
      </c>
      <c r="U100" s="35">
        <f t="shared" ca="1" si="61"/>
        <v>569202.866107382</v>
      </c>
      <c r="V100" s="35">
        <f t="shared" ca="1" si="61"/>
        <v>569202.866107382</v>
      </c>
      <c r="W100" s="35">
        <f t="shared" ca="1" si="61"/>
        <v>569202.866107382</v>
      </c>
      <c r="X100" s="35">
        <f t="shared" ca="1" si="61"/>
        <v>569202.866107382</v>
      </c>
      <c r="Y100" s="35">
        <f t="shared" ca="1" si="61"/>
        <v>569202.866107382</v>
      </c>
      <c r="Z100" s="35">
        <f t="shared" ca="1" si="61"/>
        <v>569202.866107382</v>
      </c>
      <c r="AA100" s="35">
        <f t="shared" ca="1" si="61"/>
        <v>569202.866107382</v>
      </c>
      <c r="AB100" s="35">
        <f t="shared" ca="1" si="61"/>
        <v>569202.866107382</v>
      </c>
      <c r="AC100" s="35">
        <f t="shared" ca="1" si="61"/>
        <v>569202.866107382</v>
      </c>
      <c r="AD100" s="35">
        <f t="shared" ca="1" si="61"/>
        <v>569202.866107382</v>
      </c>
      <c r="AE100" s="35">
        <f t="shared" ca="1" si="61"/>
        <v>569202.866107382</v>
      </c>
      <c r="AF100" s="35">
        <f t="shared" ca="1" si="61"/>
        <v>569202.866107382</v>
      </c>
      <c r="AG100" s="35">
        <f t="shared" ca="1" si="61"/>
        <v>569202.866107382</v>
      </c>
      <c r="AH100" s="36">
        <f t="shared" ca="1" si="40"/>
        <v>0</v>
      </c>
    </row>
    <row r="101" spans="1:209" ht="13.2">
      <c r="A101" s="40"/>
      <c r="B101" s="38" t="s">
        <v>73</v>
      </c>
      <c r="C101" s="37" t="s">
        <v>72</v>
      </c>
      <c r="D101" s="35" t="e">
        <f t="shared" ref="D101:AG101" si="62">D56+D71+D86</f>
        <v>#VALUE!</v>
      </c>
      <c r="E101" s="35" t="e">
        <f t="shared" si="62"/>
        <v>#VALUE!</v>
      </c>
      <c r="F101" s="35" t="e">
        <f t="shared" si="62"/>
        <v>#VALUE!</v>
      </c>
      <c r="G101" s="35" t="e">
        <f t="shared" si="62"/>
        <v>#VALUE!</v>
      </c>
      <c r="H101" s="35" t="e">
        <f t="shared" si="62"/>
        <v>#VALUE!</v>
      </c>
      <c r="I101" s="35" t="e">
        <f t="shared" si="62"/>
        <v>#VALUE!</v>
      </c>
      <c r="J101" s="35" t="e">
        <f t="shared" si="62"/>
        <v>#VALUE!</v>
      </c>
      <c r="K101" s="35" t="e">
        <f t="shared" si="62"/>
        <v>#VALUE!</v>
      </c>
      <c r="L101" s="35" t="e">
        <f t="shared" si="62"/>
        <v>#VALUE!</v>
      </c>
      <c r="M101" s="35" t="e">
        <f t="shared" si="62"/>
        <v>#VALUE!</v>
      </c>
      <c r="N101" s="35" t="e">
        <f t="shared" si="62"/>
        <v>#VALUE!</v>
      </c>
      <c r="O101" s="35" t="e">
        <f t="shared" si="62"/>
        <v>#VALUE!</v>
      </c>
      <c r="P101" s="35" t="e">
        <f t="shared" si="62"/>
        <v>#VALUE!</v>
      </c>
      <c r="Q101" s="35" t="e">
        <f t="shared" si="62"/>
        <v>#VALUE!</v>
      </c>
      <c r="R101" s="35" t="e">
        <f t="shared" si="62"/>
        <v>#VALUE!</v>
      </c>
      <c r="S101" s="35" t="e">
        <f t="shared" si="62"/>
        <v>#VALUE!</v>
      </c>
      <c r="T101" s="35" t="e">
        <f t="shared" si="62"/>
        <v>#VALUE!</v>
      </c>
      <c r="U101" s="35" t="e">
        <f t="shared" si="62"/>
        <v>#VALUE!</v>
      </c>
      <c r="V101" s="35" t="e">
        <f t="shared" si="62"/>
        <v>#VALUE!</v>
      </c>
      <c r="W101" s="35" t="e">
        <f t="shared" si="62"/>
        <v>#VALUE!</v>
      </c>
      <c r="X101" s="35" t="e">
        <f t="shared" si="62"/>
        <v>#VALUE!</v>
      </c>
      <c r="Y101" s="35" t="e">
        <f t="shared" si="62"/>
        <v>#VALUE!</v>
      </c>
      <c r="Z101" s="35" t="e">
        <f t="shared" si="62"/>
        <v>#VALUE!</v>
      </c>
      <c r="AA101" s="35" t="e">
        <f t="shared" si="62"/>
        <v>#VALUE!</v>
      </c>
      <c r="AB101" s="35" t="e">
        <f t="shared" si="62"/>
        <v>#VALUE!</v>
      </c>
      <c r="AC101" s="35" t="e">
        <f t="shared" si="62"/>
        <v>#VALUE!</v>
      </c>
      <c r="AD101" s="35" t="e">
        <f t="shared" si="62"/>
        <v>#VALUE!</v>
      </c>
      <c r="AE101" s="35" t="e">
        <f t="shared" si="62"/>
        <v>#VALUE!</v>
      </c>
      <c r="AF101" s="35" t="e">
        <f t="shared" si="62"/>
        <v>#VALUE!</v>
      </c>
      <c r="AG101" s="35" t="e">
        <f t="shared" si="62"/>
        <v>#VALUE!</v>
      </c>
      <c r="AH101" s="36" t="e">
        <f t="shared" si="40"/>
        <v>#VALUE!</v>
      </c>
    </row>
    <row r="102" spans="1:209" ht="13.2">
      <c r="A102" s="40"/>
      <c r="B102" s="296" t="s">
        <v>50</v>
      </c>
      <c r="C102" s="37" t="s">
        <v>0</v>
      </c>
      <c r="D102" s="35">
        <f t="shared" ref="D102:AG102" si="63">D57+D72+D87</f>
        <v>0</v>
      </c>
      <c r="E102" s="35">
        <f t="shared" ca="1" si="63"/>
        <v>2999.9241450894388</v>
      </c>
      <c r="F102" s="35">
        <f t="shared" ca="1" si="63"/>
        <v>3489.8574013660009</v>
      </c>
      <c r="G102" s="35">
        <f t="shared" ca="1" si="63"/>
        <v>4380.8378371038252</v>
      </c>
      <c r="H102" s="35">
        <f t="shared" ca="1" si="63"/>
        <v>5603.499990022312</v>
      </c>
      <c r="I102" s="35">
        <f t="shared" ca="1" si="63"/>
        <v>6467.8964196577354</v>
      </c>
      <c r="J102" s="35">
        <f t="shared" ca="1" si="63"/>
        <v>7262.6554895220388</v>
      </c>
      <c r="K102" s="35">
        <f t="shared" ca="1" si="63"/>
        <v>8163.3437210066859</v>
      </c>
      <c r="L102" s="35">
        <f t="shared" ca="1" si="63"/>
        <v>9377.9320555734666</v>
      </c>
      <c r="M102" s="35">
        <f t="shared" ca="1" si="63"/>
        <v>10713.586441909771</v>
      </c>
      <c r="N102" s="35">
        <f t="shared" ca="1" si="63"/>
        <v>11931.22363154636</v>
      </c>
      <c r="O102" s="35">
        <f t="shared" ca="1" si="63"/>
        <v>13211.219258958417</v>
      </c>
      <c r="P102" s="35">
        <f t="shared" ca="1" si="63"/>
        <v>14458.048479317637</v>
      </c>
      <c r="Q102" s="35">
        <f t="shared" ca="1" si="63"/>
        <v>15695.345996442073</v>
      </c>
      <c r="R102" s="35">
        <f t="shared" ca="1" si="63"/>
        <v>16605.373127774823</v>
      </c>
      <c r="S102" s="35">
        <f t="shared" ca="1" si="63"/>
        <v>17441.132793432764</v>
      </c>
      <c r="T102" s="35">
        <f t="shared" ca="1" si="63"/>
        <v>18246.119653117123</v>
      </c>
      <c r="U102" s="35">
        <f t="shared" ca="1" si="63"/>
        <v>18917.184605107414</v>
      </c>
      <c r="V102" s="35">
        <f t="shared" ca="1" si="63"/>
        <v>19612.082458952271</v>
      </c>
      <c r="W102" s="35">
        <f t="shared" ca="1" si="63"/>
        <v>20274.312721544866</v>
      </c>
      <c r="X102" s="35">
        <f t="shared" ca="1" si="63"/>
        <v>20961.2373640859</v>
      </c>
      <c r="Y102" s="35">
        <f t="shared" ca="1" si="63"/>
        <v>21603.914978916244</v>
      </c>
      <c r="Z102" s="35">
        <f t="shared" ca="1" si="63"/>
        <v>22297.289344634912</v>
      </c>
      <c r="AA102" s="35">
        <f t="shared" ca="1" si="63"/>
        <v>22909.689237980601</v>
      </c>
      <c r="AB102" s="35">
        <f t="shared" ca="1" si="63"/>
        <v>23588.737301862202</v>
      </c>
      <c r="AC102" s="35">
        <f t="shared" ca="1" si="63"/>
        <v>24120.364539741749</v>
      </c>
      <c r="AD102" s="35">
        <f t="shared" ca="1" si="63"/>
        <v>24653.531093985119</v>
      </c>
      <c r="AE102" s="35">
        <f t="shared" ca="1" si="63"/>
        <v>25281.974959909574</v>
      </c>
      <c r="AF102" s="35">
        <f t="shared" ca="1" si="63"/>
        <v>25713.826362059055</v>
      </c>
      <c r="AG102" s="35">
        <f t="shared" si="63"/>
        <v>26099.82439657479</v>
      </c>
      <c r="AH102" s="36" t="e">
        <f t="shared" si="40"/>
        <v>#DIV/0!</v>
      </c>
    </row>
    <row r="103" spans="1:209" ht="13.2">
      <c r="A103" s="40"/>
      <c r="B103" s="298"/>
      <c r="C103" s="34" t="s">
        <v>46</v>
      </c>
      <c r="D103" s="35">
        <f t="shared" ref="D103:AG103" ca="1" si="64">D58+D73+D88</f>
        <v>2366884.2549449713</v>
      </c>
      <c r="E103" s="35">
        <f t="shared" ca="1" si="64"/>
        <v>2436705.0456391177</v>
      </c>
      <c r="F103" s="35">
        <f t="shared" ca="1" si="64"/>
        <v>2482536.8846862111</v>
      </c>
      <c r="G103" s="35">
        <f t="shared" ca="1" si="64"/>
        <v>2474773.0432362733</v>
      </c>
      <c r="H103" s="35">
        <f t="shared" ca="1" si="64"/>
        <v>2463826.9300621613</v>
      </c>
      <c r="I103" s="35">
        <f t="shared" ca="1" si="64"/>
        <v>2446996.7964755655</v>
      </c>
      <c r="J103" s="35">
        <f t="shared" ca="1" si="64"/>
        <v>2425988.6402863418</v>
      </c>
      <c r="K103" s="35">
        <f t="shared" ca="1" si="64"/>
        <v>2403453.9226456955</v>
      </c>
      <c r="L103" s="35">
        <f t="shared" ca="1" si="64"/>
        <v>2383297.8713726024</v>
      </c>
      <c r="M103" s="35">
        <f t="shared" ca="1" si="64"/>
        <v>2365987.5977693056</v>
      </c>
      <c r="N103" s="35">
        <f t="shared" ca="1" si="64"/>
        <v>2335493.4608121389</v>
      </c>
      <c r="O103" s="35">
        <f t="shared" ca="1" si="64"/>
        <v>2304244.6740746312</v>
      </c>
      <c r="P103" s="35">
        <f t="shared" ca="1" si="64"/>
        <v>2277621.0043256734</v>
      </c>
      <c r="Q103" s="35">
        <f t="shared" ca="1" si="64"/>
        <v>2252211.646285994</v>
      </c>
      <c r="R103" s="35">
        <f t="shared" ca="1" si="64"/>
        <v>2226795.4458282562</v>
      </c>
      <c r="S103" s="35">
        <f t="shared" ca="1" si="64"/>
        <v>2203309.6813881705</v>
      </c>
      <c r="T103" s="35">
        <f t="shared" ca="1" si="64"/>
        <v>2182819.3852301249</v>
      </c>
      <c r="U103" s="35">
        <f t="shared" ca="1" si="64"/>
        <v>2163667.3799413689</v>
      </c>
      <c r="V103" s="35">
        <f t="shared" ca="1" si="64"/>
        <v>2146860.1528424574</v>
      </c>
      <c r="W103" s="35">
        <f t="shared" ca="1" si="64"/>
        <v>2131618.0019127652</v>
      </c>
      <c r="X103" s="35">
        <f t="shared" ca="1" si="64"/>
        <v>2117404.5673704334</v>
      </c>
      <c r="Y103" s="35">
        <f t="shared" ca="1" si="64"/>
        <v>2104499.4683017577</v>
      </c>
      <c r="Z103" s="35">
        <f t="shared" ca="1" si="64"/>
        <v>2092377.4301744192</v>
      </c>
      <c r="AA103" s="35">
        <f t="shared" ca="1" si="64"/>
        <v>2081680.8792593786</v>
      </c>
      <c r="AB103" s="35">
        <f t="shared" ca="1" si="64"/>
        <v>2072531.4460199664</v>
      </c>
      <c r="AC103" s="35">
        <f t="shared" ca="1" si="64"/>
        <v>2065484.9902837174</v>
      </c>
      <c r="AD103" s="35">
        <f t="shared" ca="1" si="64"/>
        <v>2058352.0076769695</v>
      </c>
      <c r="AE103" s="35">
        <f t="shared" ca="1" si="64"/>
        <v>2051439.6425076232</v>
      </c>
      <c r="AF103" s="35">
        <f t="shared" ca="1" si="64"/>
        <v>2046378.3157715695</v>
      </c>
      <c r="AG103" s="35">
        <f t="shared" ca="1" si="64"/>
        <v>2043426.5411720062</v>
      </c>
      <c r="AH103" s="36">
        <f t="shared" ca="1" si="40"/>
        <v>-0.13665970910794931</v>
      </c>
    </row>
    <row r="104" spans="1:209" ht="13.2">
      <c r="A104" s="40"/>
      <c r="B104" s="297"/>
      <c r="C104" s="34" t="s">
        <v>51</v>
      </c>
      <c r="D104" s="35">
        <f t="shared" ref="D104:AG104" si="65">D59+D74+D89</f>
        <v>594989.22373651795</v>
      </c>
      <c r="E104" s="35">
        <f t="shared" ca="1" si="65"/>
        <v>599700.08292059973</v>
      </c>
      <c r="F104" s="35">
        <f t="shared" ca="1" si="65"/>
        <v>606638.70417805389</v>
      </c>
      <c r="G104" s="35">
        <f t="shared" ca="1" si="65"/>
        <v>601602.20548721007</v>
      </c>
      <c r="H104" s="35">
        <f t="shared" ca="1" si="65"/>
        <v>599202.96876619628</v>
      </c>
      <c r="I104" s="35">
        <f t="shared" ca="1" si="65"/>
        <v>595314.27324298956</v>
      </c>
      <c r="J104" s="35">
        <f t="shared" ca="1" si="65"/>
        <v>589185.93425247818</v>
      </c>
      <c r="K104" s="35">
        <f t="shared" ca="1" si="65"/>
        <v>582936.68457325385</v>
      </c>
      <c r="L104" s="35">
        <f t="shared" ca="1" si="65"/>
        <v>576328.10578199616</v>
      </c>
      <c r="M104" s="35">
        <f t="shared" ca="1" si="65"/>
        <v>569734.62566833547</v>
      </c>
      <c r="N104" s="35">
        <f t="shared" ca="1" si="65"/>
        <v>558548.89237021049</v>
      </c>
      <c r="O104" s="35">
        <f t="shared" ca="1" si="65"/>
        <v>548714.58445442421</v>
      </c>
      <c r="P104" s="35">
        <f t="shared" ca="1" si="65"/>
        <v>539718.43279256858</v>
      </c>
      <c r="Q104" s="35">
        <f t="shared" ca="1" si="65"/>
        <v>530491.58667207696</v>
      </c>
      <c r="R104" s="35">
        <f t="shared" ca="1" si="65"/>
        <v>522125.90415844216</v>
      </c>
      <c r="S104" s="35">
        <f t="shared" ca="1" si="65"/>
        <v>514030.18356262683</v>
      </c>
      <c r="T104" s="35">
        <f t="shared" ca="1" si="65"/>
        <v>507346.34095131827</v>
      </c>
      <c r="U104" s="35">
        <f t="shared" ca="1" si="65"/>
        <v>501235.57008305902</v>
      </c>
      <c r="V104" s="35">
        <f t="shared" ca="1" si="65"/>
        <v>494908.58098552469</v>
      </c>
      <c r="W104" s="35">
        <f t="shared" ca="1" si="65"/>
        <v>489281.01330409414</v>
      </c>
      <c r="X104" s="35">
        <f t="shared" ca="1" si="65"/>
        <v>483942.67393887986</v>
      </c>
      <c r="Y104" s="35">
        <f t="shared" ca="1" si="65"/>
        <v>479722.7603822645</v>
      </c>
      <c r="Z104" s="35">
        <f t="shared" ca="1" si="65"/>
        <v>475697.95009063376</v>
      </c>
      <c r="AA104" s="35">
        <f t="shared" ca="1" si="65"/>
        <v>471363.48726126214</v>
      </c>
      <c r="AB104" s="35">
        <f t="shared" ca="1" si="65"/>
        <v>466981.91683985392</v>
      </c>
      <c r="AC104" s="35">
        <f t="shared" ca="1" si="65"/>
        <v>463113.05093012116</v>
      </c>
      <c r="AD104" s="35">
        <f t="shared" ca="1" si="65"/>
        <v>458526.09538747766</v>
      </c>
      <c r="AE104" s="35">
        <f t="shared" ca="1" si="65"/>
        <v>453291.87624475401</v>
      </c>
      <c r="AF104" s="35">
        <f t="shared" ca="1" si="65"/>
        <v>449026.89086311008</v>
      </c>
      <c r="AG104" s="35">
        <f t="shared" ca="1" si="65"/>
        <v>445757.68364085036</v>
      </c>
      <c r="AH104" s="36">
        <f t="shared" ca="1" si="40"/>
        <v>-0.25081385366695741</v>
      </c>
    </row>
    <row r="105" spans="1:209" ht="13.2">
      <c r="A105" s="40"/>
      <c r="B105" s="39" t="s">
        <v>74</v>
      </c>
      <c r="C105" s="37" t="s">
        <v>75</v>
      </c>
      <c r="D105" s="35" t="e">
        <f t="shared" ref="D105:AG105" si="66">D60+D75+D90</f>
        <v>#VALUE!</v>
      </c>
      <c r="E105" s="35" t="e">
        <f t="shared" si="66"/>
        <v>#VALUE!</v>
      </c>
      <c r="F105" s="35" t="e">
        <f t="shared" si="66"/>
        <v>#VALUE!</v>
      </c>
      <c r="G105" s="35" t="e">
        <f t="shared" si="66"/>
        <v>#VALUE!</v>
      </c>
      <c r="H105" s="35" t="e">
        <f t="shared" si="66"/>
        <v>#VALUE!</v>
      </c>
      <c r="I105" s="35" t="e">
        <f t="shared" si="66"/>
        <v>#VALUE!</v>
      </c>
      <c r="J105" s="35" t="e">
        <f t="shared" si="66"/>
        <v>#VALUE!</v>
      </c>
      <c r="K105" s="35" t="e">
        <f t="shared" si="66"/>
        <v>#VALUE!</v>
      </c>
      <c r="L105" s="35" t="e">
        <f t="shared" si="66"/>
        <v>#VALUE!</v>
      </c>
      <c r="M105" s="35" t="e">
        <f t="shared" si="66"/>
        <v>#VALUE!</v>
      </c>
      <c r="N105" s="35" t="e">
        <f t="shared" si="66"/>
        <v>#VALUE!</v>
      </c>
      <c r="O105" s="35" t="e">
        <f t="shared" si="66"/>
        <v>#VALUE!</v>
      </c>
      <c r="P105" s="35" t="e">
        <f t="shared" si="66"/>
        <v>#VALUE!</v>
      </c>
      <c r="Q105" s="35" t="e">
        <f t="shared" si="66"/>
        <v>#VALUE!</v>
      </c>
      <c r="R105" s="35" t="e">
        <f t="shared" si="66"/>
        <v>#VALUE!</v>
      </c>
      <c r="S105" s="35" t="e">
        <f t="shared" si="66"/>
        <v>#VALUE!</v>
      </c>
      <c r="T105" s="35" t="e">
        <f t="shared" si="66"/>
        <v>#VALUE!</v>
      </c>
      <c r="U105" s="35" t="e">
        <f t="shared" si="66"/>
        <v>#VALUE!</v>
      </c>
      <c r="V105" s="35" t="e">
        <f t="shared" si="66"/>
        <v>#VALUE!</v>
      </c>
      <c r="W105" s="35" t="e">
        <f t="shared" si="66"/>
        <v>#VALUE!</v>
      </c>
      <c r="X105" s="35" t="e">
        <f t="shared" si="66"/>
        <v>#VALUE!</v>
      </c>
      <c r="Y105" s="35" t="e">
        <f t="shared" si="66"/>
        <v>#VALUE!</v>
      </c>
      <c r="Z105" s="35" t="e">
        <f t="shared" si="66"/>
        <v>#VALUE!</v>
      </c>
      <c r="AA105" s="35" t="e">
        <f t="shared" si="66"/>
        <v>#VALUE!</v>
      </c>
      <c r="AB105" s="35" t="e">
        <f t="shared" si="66"/>
        <v>#VALUE!</v>
      </c>
      <c r="AC105" s="35" t="e">
        <f t="shared" si="66"/>
        <v>#VALUE!</v>
      </c>
      <c r="AD105" s="35" t="e">
        <f t="shared" si="66"/>
        <v>#VALUE!</v>
      </c>
      <c r="AE105" s="35" t="e">
        <f t="shared" si="66"/>
        <v>#VALUE!</v>
      </c>
      <c r="AF105" s="35" t="e">
        <f t="shared" si="66"/>
        <v>#VALUE!</v>
      </c>
      <c r="AG105" s="35" t="e">
        <f t="shared" si="66"/>
        <v>#VALUE!</v>
      </c>
      <c r="AH105" s="36" t="e">
        <f t="shared" si="40"/>
        <v>#VALUE!</v>
      </c>
    </row>
    <row r="106" spans="1:209" ht="13.2">
      <c r="A106" s="40"/>
      <c r="B106" s="39" t="s">
        <v>76</v>
      </c>
      <c r="C106" s="37" t="s">
        <v>75</v>
      </c>
      <c r="D106" s="35" t="e">
        <f t="shared" ref="D106:AG106" si="67">D61+D76+D91</f>
        <v>#REF!</v>
      </c>
      <c r="E106" s="35" t="e">
        <f t="shared" si="67"/>
        <v>#REF!</v>
      </c>
      <c r="F106" s="35" t="e">
        <f t="shared" si="67"/>
        <v>#REF!</v>
      </c>
      <c r="G106" s="35" t="e">
        <f t="shared" si="67"/>
        <v>#REF!</v>
      </c>
      <c r="H106" s="35" t="e">
        <f t="shared" si="67"/>
        <v>#REF!</v>
      </c>
      <c r="I106" s="35" t="e">
        <f t="shared" si="67"/>
        <v>#REF!</v>
      </c>
      <c r="J106" s="35" t="e">
        <f t="shared" si="67"/>
        <v>#REF!</v>
      </c>
      <c r="K106" s="35" t="e">
        <f t="shared" si="67"/>
        <v>#REF!</v>
      </c>
      <c r="L106" s="35" t="e">
        <f t="shared" si="67"/>
        <v>#REF!</v>
      </c>
      <c r="M106" s="35" t="e">
        <f t="shared" si="67"/>
        <v>#REF!</v>
      </c>
      <c r="N106" s="35" t="e">
        <f t="shared" si="67"/>
        <v>#REF!</v>
      </c>
      <c r="O106" s="35" t="e">
        <f t="shared" si="67"/>
        <v>#REF!</v>
      </c>
      <c r="P106" s="35" t="e">
        <f t="shared" si="67"/>
        <v>#REF!</v>
      </c>
      <c r="Q106" s="35" t="e">
        <f t="shared" si="67"/>
        <v>#REF!</v>
      </c>
      <c r="R106" s="35" t="e">
        <f t="shared" si="67"/>
        <v>#REF!</v>
      </c>
      <c r="S106" s="35" t="e">
        <f t="shared" si="67"/>
        <v>#REF!</v>
      </c>
      <c r="T106" s="35" t="e">
        <f t="shared" si="67"/>
        <v>#REF!</v>
      </c>
      <c r="U106" s="35" t="e">
        <f t="shared" si="67"/>
        <v>#REF!</v>
      </c>
      <c r="V106" s="35" t="e">
        <f t="shared" si="67"/>
        <v>#REF!</v>
      </c>
      <c r="W106" s="35" t="e">
        <f t="shared" si="67"/>
        <v>#REF!</v>
      </c>
      <c r="X106" s="35" t="e">
        <f t="shared" si="67"/>
        <v>#REF!</v>
      </c>
      <c r="Y106" s="35" t="e">
        <f t="shared" si="67"/>
        <v>#REF!</v>
      </c>
      <c r="Z106" s="35" t="e">
        <f t="shared" si="67"/>
        <v>#REF!</v>
      </c>
      <c r="AA106" s="35" t="e">
        <f t="shared" si="67"/>
        <v>#REF!</v>
      </c>
      <c r="AB106" s="35" t="e">
        <f t="shared" si="67"/>
        <v>#REF!</v>
      </c>
      <c r="AC106" s="35" t="e">
        <f t="shared" si="67"/>
        <v>#REF!</v>
      </c>
      <c r="AD106" s="35" t="e">
        <f t="shared" si="67"/>
        <v>#REF!</v>
      </c>
      <c r="AE106" s="35" t="e">
        <f t="shared" si="67"/>
        <v>#REF!</v>
      </c>
      <c r="AF106" s="35" t="e">
        <f t="shared" si="67"/>
        <v>#REF!</v>
      </c>
      <c r="AG106" s="35" t="e">
        <f t="shared" si="67"/>
        <v>#REF!</v>
      </c>
      <c r="AH106" s="36" t="e">
        <f t="shared" si="40"/>
        <v>#REF!</v>
      </c>
    </row>
    <row r="107" spans="1:209" ht="13.2">
      <c r="A107" s="40"/>
      <c r="B107" s="39" t="s">
        <v>77</v>
      </c>
      <c r="C107" s="37" t="s">
        <v>75</v>
      </c>
      <c r="D107" s="35" t="e">
        <f t="shared" ref="D107:AG107" ca="1" si="68">D62+D77+D92</f>
        <v>#VALUE!</v>
      </c>
      <c r="E107" s="35" t="e">
        <f t="shared" ca="1" si="68"/>
        <v>#VALUE!</v>
      </c>
      <c r="F107" s="35" t="e">
        <f t="shared" ca="1" si="68"/>
        <v>#VALUE!</v>
      </c>
      <c r="G107" s="35" t="e">
        <f t="shared" ca="1" si="68"/>
        <v>#VALUE!</v>
      </c>
      <c r="H107" s="35" t="e">
        <f t="shared" ca="1" si="68"/>
        <v>#VALUE!</v>
      </c>
      <c r="I107" s="35" t="e">
        <f t="shared" ca="1" si="68"/>
        <v>#VALUE!</v>
      </c>
      <c r="J107" s="35" t="e">
        <f t="shared" ca="1" si="68"/>
        <v>#VALUE!</v>
      </c>
      <c r="K107" s="35" t="e">
        <f t="shared" ca="1" si="68"/>
        <v>#VALUE!</v>
      </c>
      <c r="L107" s="35" t="e">
        <f t="shared" ca="1" si="68"/>
        <v>#VALUE!</v>
      </c>
      <c r="M107" s="35" t="e">
        <f t="shared" ca="1" si="68"/>
        <v>#VALUE!</v>
      </c>
      <c r="N107" s="35" t="e">
        <f t="shared" ca="1" si="68"/>
        <v>#VALUE!</v>
      </c>
      <c r="O107" s="35" t="e">
        <f t="shared" ca="1" si="68"/>
        <v>#VALUE!</v>
      </c>
      <c r="P107" s="35" t="e">
        <f t="shared" ca="1" si="68"/>
        <v>#VALUE!</v>
      </c>
      <c r="Q107" s="35" t="e">
        <f t="shared" ca="1" si="68"/>
        <v>#VALUE!</v>
      </c>
      <c r="R107" s="35" t="e">
        <f t="shared" ca="1" si="68"/>
        <v>#VALUE!</v>
      </c>
      <c r="S107" s="35" t="e">
        <f t="shared" ca="1" si="68"/>
        <v>#VALUE!</v>
      </c>
      <c r="T107" s="35" t="e">
        <f t="shared" ca="1" si="68"/>
        <v>#VALUE!</v>
      </c>
      <c r="U107" s="35" t="e">
        <f t="shared" ca="1" si="68"/>
        <v>#VALUE!</v>
      </c>
      <c r="V107" s="35" t="e">
        <f t="shared" ca="1" si="68"/>
        <v>#VALUE!</v>
      </c>
      <c r="W107" s="35" t="e">
        <f t="shared" ca="1" si="68"/>
        <v>#VALUE!</v>
      </c>
      <c r="X107" s="35" t="e">
        <f t="shared" ca="1" si="68"/>
        <v>#VALUE!</v>
      </c>
      <c r="Y107" s="35" t="e">
        <f t="shared" ca="1" si="68"/>
        <v>#VALUE!</v>
      </c>
      <c r="Z107" s="35" t="e">
        <f t="shared" ca="1" si="68"/>
        <v>#VALUE!</v>
      </c>
      <c r="AA107" s="35" t="e">
        <f t="shared" ca="1" si="68"/>
        <v>#VALUE!</v>
      </c>
      <c r="AB107" s="35" t="e">
        <f t="shared" ca="1" si="68"/>
        <v>#VALUE!</v>
      </c>
      <c r="AC107" s="35" t="e">
        <f t="shared" ca="1" si="68"/>
        <v>#VALUE!</v>
      </c>
      <c r="AD107" s="35" t="e">
        <f t="shared" ca="1" si="68"/>
        <v>#VALUE!</v>
      </c>
      <c r="AE107" s="35" t="e">
        <f t="shared" ca="1" si="68"/>
        <v>#VALUE!</v>
      </c>
      <c r="AF107" s="35" t="e">
        <f t="shared" ca="1" si="68"/>
        <v>#VALUE!</v>
      </c>
      <c r="AG107" s="35" t="e">
        <f t="shared" ca="1" si="68"/>
        <v>#VALUE!</v>
      </c>
      <c r="AH107" s="36" t="e">
        <f t="shared" ca="1" si="40"/>
        <v>#VALUE!</v>
      </c>
    </row>
    <row r="108" spans="1:209" ht="13.2">
      <c r="A108" s="40"/>
      <c r="B108" s="39" t="s">
        <v>78</v>
      </c>
      <c r="C108" s="37" t="s">
        <v>75</v>
      </c>
      <c r="D108" s="35" t="e">
        <f t="shared" ref="D108:AG108" ca="1" si="69">D63+D78+D93</f>
        <v>#VALUE!</v>
      </c>
      <c r="E108" s="35" t="e">
        <f t="shared" ca="1" si="69"/>
        <v>#VALUE!</v>
      </c>
      <c r="F108" s="35" t="e">
        <f t="shared" ca="1" si="69"/>
        <v>#VALUE!</v>
      </c>
      <c r="G108" s="35" t="e">
        <f t="shared" ca="1" si="69"/>
        <v>#VALUE!</v>
      </c>
      <c r="H108" s="35" t="e">
        <f t="shared" ca="1" si="69"/>
        <v>#VALUE!</v>
      </c>
      <c r="I108" s="35" t="e">
        <f t="shared" ca="1" si="69"/>
        <v>#VALUE!</v>
      </c>
      <c r="J108" s="35" t="e">
        <f t="shared" ca="1" si="69"/>
        <v>#VALUE!</v>
      </c>
      <c r="K108" s="35" t="e">
        <f t="shared" ca="1" si="69"/>
        <v>#VALUE!</v>
      </c>
      <c r="L108" s="35" t="e">
        <f t="shared" ca="1" si="69"/>
        <v>#VALUE!</v>
      </c>
      <c r="M108" s="35" t="e">
        <f t="shared" ca="1" si="69"/>
        <v>#VALUE!</v>
      </c>
      <c r="N108" s="35" t="e">
        <f t="shared" ca="1" si="69"/>
        <v>#VALUE!</v>
      </c>
      <c r="O108" s="35" t="e">
        <f t="shared" ca="1" si="69"/>
        <v>#VALUE!</v>
      </c>
      <c r="P108" s="35" t="e">
        <f t="shared" ca="1" si="69"/>
        <v>#VALUE!</v>
      </c>
      <c r="Q108" s="35" t="e">
        <f t="shared" ca="1" si="69"/>
        <v>#VALUE!</v>
      </c>
      <c r="R108" s="35" t="e">
        <f t="shared" ca="1" si="69"/>
        <v>#VALUE!</v>
      </c>
      <c r="S108" s="35" t="e">
        <f t="shared" ca="1" si="69"/>
        <v>#VALUE!</v>
      </c>
      <c r="T108" s="35" t="e">
        <f t="shared" ca="1" si="69"/>
        <v>#VALUE!</v>
      </c>
      <c r="U108" s="35" t="e">
        <f t="shared" ca="1" si="69"/>
        <v>#VALUE!</v>
      </c>
      <c r="V108" s="35" t="e">
        <f t="shared" ca="1" si="69"/>
        <v>#VALUE!</v>
      </c>
      <c r="W108" s="35" t="e">
        <f t="shared" ca="1" si="69"/>
        <v>#VALUE!</v>
      </c>
      <c r="X108" s="35" t="e">
        <f t="shared" ca="1" si="69"/>
        <v>#VALUE!</v>
      </c>
      <c r="Y108" s="35" t="e">
        <f t="shared" ca="1" si="69"/>
        <v>#VALUE!</v>
      </c>
      <c r="Z108" s="35" t="e">
        <f t="shared" ca="1" si="69"/>
        <v>#VALUE!</v>
      </c>
      <c r="AA108" s="35" t="e">
        <f t="shared" ca="1" si="69"/>
        <v>#VALUE!</v>
      </c>
      <c r="AB108" s="35" t="e">
        <f t="shared" ca="1" si="69"/>
        <v>#VALUE!</v>
      </c>
      <c r="AC108" s="35" t="e">
        <f t="shared" ca="1" si="69"/>
        <v>#VALUE!</v>
      </c>
      <c r="AD108" s="35" t="e">
        <f t="shared" ca="1" si="69"/>
        <v>#VALUE!</v>
      </c>
      <c r="AE108" s="35" t="e">
        <f t="shared" ca="1" si="69"/>
        <v>#VALUE!</v>
      </c>
      <c r="AF108" s="35" t="e">
        <f t="shared" ca="1" si="69"/>
        <v>#VALUE!</v>
      </c>
      <c r="AG108" s="35" t="e">
        <f t="shared" ca="1" si="69"/>
        <v>#VALUE!</v>
      </c>
      <c r="AH108" s="36" t="e">
        <f t="shared" ca="1" si="40"/>
        <v>#VALUE!</v>
      </c>
    </row>
    <row r="109" spans="1:209" ht="13.2">
      <c r="A109" s="40"/>
      <c r="C109" s="20"/>
      <c r="AH109" s="41"/>
    </row>
    <row r="110" spans="1:209" ht="13.2">
      <c r="A110" s="42" t="s">
        <v>36</v>
      </c>
      <c r="B110" s="43" t="s">
        <v>32</v>
      </c>
      <c r="C110" s="43" t="s">
        <v>32</v>
      </c>
      <c r="D110" s="43" t="e">
        <f t="shared" ref="D110:AG110" ca="1" si="70">SUM(D94:D108)</f>
        <v>#VALUE!</v>
      </c>
      <c r="E110" s="43" t="e">
        <f t="shared" ca="1" si="70"/>
        <v>#VALUE!</v>
      </c>
      <c r="F110" s="43" t="e">
        <f t="shared" ca="1" si="70"/>
        <v>#VALUE!</v>
      </c>
      <c r="G110" s="43" t="e">
        <f t="shared" ca="1" si="70"/>
        <v>#VALUE!</v>
      </c>
      <c r="H110" s="43" t="e">
        <f t="shared" ca="1" si="70"/>
        <v>#VALUE!</v>
      </c>
      <c r="I110" s="43" t="e">
        <f t="shared" ca="1" si="70"/>
        <v>#VALUE!</v>
      </c>
      <c r="J110" s="43" t="e">
        <f t="shared" ca="1" si="70"/>
        <v>#VALUE!</v>
      </c>
      <c r="K110" s="43" t="e">
        <f t="shared" ca="1" si="70"/>
        <v>#VALUE!</v>
      </c>
      <c r="L110" s="43" t="e">
        <f t="shared" ca="1" si="70"/>
        <v>#VALUE!</v>
      </c>
      <c r="M110" s="43" t="e">
        <f t="shared" ca="1" si="70"/>
        <v>#VALUE!</v>
      </c>
      <c r="N110" s="43" t="e">
        <f t="shared" ca="1" si="70"/>
        <v>#VALUE!</v>
      </c>
      <c r="O110" s="43" t="e">
        <f t="shared" ca="1" si="70"/>
        <v>#VALUE!</v>
      </c>
      <c r="P110" s="43" t="e">
        <f t="shared" ca="1" si="70"/>
        <v>#VALUE!</v>
      </c>
      <c r="Q110" s="43" t="e">
        <f t="shared" ca="1" si="70"/>
        <v>#VALUE!</v>
      </c>
      <c r="R110" s="43" t="e">
        <f t="shared" ca="1" si="70"/>
        <v>#VALUE!</v>
      </c>
      <c r="S110" s="43" t="e">
        <f t="shared" ca="1" si="70"/>
        <v>#VALUE!</v>
      </c>
      <c r="T110" s="43" t="e">
        <f t="shared" ca="1" si="70"/>
        <v>#VALUE!</v>
      </c>
      <c r="U110" s="43" t="e">
        <f t="shared" ca="1" si="70"/>
        <v>#VALUE!</v>
      </c>
      <c r="V110" s="43" t="e">
        <f t="shared" ca="1" si="70"/>
        <v>#VALUE!</v>
      </c>
      <c r="W110" s="43" t="e">
        <f t="shared" ca="1" si="70"/>
        <v>#VALUE!</v>
      </c>
      <c r="X110" s="43" t="e">
        <f t="shared" ca="1" si="70"/>
        <v>#VALUE!</v>
      </c>
      <c r="Y110" s="43" t="e">
        <f t="shared" ca="1" si="70"/>
        <v>#VALUE!</v>
      </c>
      <c r="Z110" s="43" t="e">
        <f t="shared" ca="1" si="70"/>
        <v>#VALUE!</v>
      </c>
      <c r="AA110" s="43" t="e">
        <f t="shared" ca="1" si="70"/>
        <v>#VALUE!</v>
      </c>
      <c r="AB110" s="43" t="e">
        <f t="shared" ca="1" si="70"/>
        <v>#VALUE!</v>
      </c>
      <c r="AC110" s="43" t="e">
        <f t="shared" ca="1" si="70"/>
        <v>#VALUE!</v>
      </c>
      <c r="AD110" s="43" t="e">
        <f t="shared" ca="1" si="70"/>
        <v>#VALUE!</v>
      </c>
      <c r="AE110" s="43" t="e">
        <f t="shared" ca="1" si="70"/>
        <v>#VALUE!</v>
      </c>
      <c r="AF110" s="43" t="e">
        <f t="shared" ca="1" si="70"/>
        <v>#VALUE!</v>
      </c>
      <c r="AG110" s="43" t="e">
        <f t="shared" ca="1" si="70"/>
        <v>#VALUE!</v>
      </c>
      <c r="AH110" s="44" t="e">
        <f ca="1">(AG110-D110)/D110</f>
        <v>#VALUE!</v>
      </c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  <c r="CJ110" s="45"/>
      <c r="CK110" s="45"/>
      <c r="CL110" s="45"/>
      <c r="CM110" s="45"/>
      <c r="CN110" s="45"/>
      <c r="CO110" s="45"/>
      <c r="CP110" s="45"/>
      <c r="CQ110" s="45"/>
      <c r="CR110" s="45"/>
      <c r="CS110" s="45"/>
      <c r="CT110" s="45"/>
      <c r="CU110" s="45"/>
      <c r="CV110" s="45"/>
      <c r="CW110" s="45"/>
      <c r="CX110" s="45"/>
      <c r="CY110" s="45"/>
      <c r="CZ110" s="45"/>
      <c r="DA110" s="45"/>
      <c r="DB110" s="45"/>
      <c r="DC110" s="45"/>
      <c r="DD110" s="45"/>
      <c r="DE110" s="45"/>
      <c r="DF110" s="45"/>
      <c r="DG110" s="45"/>
      <c r="DH110" s="45"/>
      <c r="DI110" s="45"/>
      <c r="DJ110" s="45"/>
      <c r="DK110" s="45"/>
      <c r="DL110" s="45"/>
      <c r="DM110" s="45"/>
      <c r="DN110" s="45"/>
      <c r="DO110" s="45"/>
      <c r="DP110" s="45"/>
      <c r="DQ110" s="45"/>
      <c r="DR110" s="45"/>
      <c r="DS110" s="45"/>
      <c r="DT110" s="45"/>
      <c r="DU110" s="45"/>
      <c r="DV110" s="45"/>
      <c r="DW110" s="45"/>
      <c r="DX110" s="45"/>
      <c r="DY110" s="45"/>
      <c r="DZ110" s="45"/>
      <c r="EA110" s="45"/>
      <c r="EB110" s="45"/>
      <c r="EC110" s="45"/>
      <c r="ED110" s="45"/>
      <c r="EE110" s="45"/>
      <c r="EF110" s="45"/>
      <c r="EG110" s="45"/>
      <c r="EH110" s="45"/>
      <c r="EI110" s="45"/>
      <c r="EJ110" s="45"/>
      <c r="EK110" s="45"/>
      <c r="EL110" s="45"/>
      <c r="EM110" s="45"/>
      <c r="EN110" s="45"/>
      <c r="EO110" s="45"/>
      <c r="EP110" s="45"/>
      <c r="EQ110" s="45"/>
      <c r="ER110" s="45"/>
      <c r="ES110" s="45"/>
      <c r="ET110" s="45"/>
      <c r="EU110" s="45"/>
      <c r="EV110" s="45"/>
      <c r="EW110" s="45"/>
      <c r="EX110" s="45"/>
      <c r="EY110" s="45"/>
      <c r="EZ110" s="45"/>
      <c r="FA110" s="45"/>
      <c r="FB110" s="45"/>
      <c r="FC110" s="45"/>
      <c r="FD110" s="45"/>
      <c r="FE110" s="45"/>
      <c r="FF110" s="45"/>
      <c r="FG110" s="45"/>
      <c r="FH110" s="45"/>
      <c r="FI110" s="45"/>
      <c r="FJ110" s="45"/>
      <c r="FK110" s="45"/>
      <c r="FL110" s="45"/>
      <c r="FM110" s="45"/>
      <c r="FN110" s="45"/>
      <c r="FO110" s="45"/>
      <c r="FP110" s="45"/>
      <c r="FQ110" s="45"/>
      <c r="FR110" s="45"/>
      <c r="FS110" s="45"/>
      <c r="FT110" s="45"/>
      <c r="FU110" s="45"/>
      <c r="FV110" s="45"/>
      <c r="FW110" s="45"/>
      <c r="FX110" s="45"/>
      <c r="FY110" s="45"/>
      <c r="FZ110" s="45"/>
      <c r="GA110" s="45"/>
      <c r="GB110" s="45"/>
      <c r="GC110" s="45"/>
      <c r="GD110" s="45"/>
      <c r="GE110" s="45"/>
      <c r="GF110" s="45"/>
      <c r="GG110" s="45"/>
      <c r="GH110" s="45"/>
      <c r="GI110" s="45"/>
      <c r="GJ110" s="45"/>
      <c r="GK110" s="45"/>
      <c r="GL110" s="45"/>
      <c r="GM110" s="45"/>
      <c r="GN110" s="45"/>
      <c r="GO110" s="45"/>
      <c r="GP110" s="45"/>
      <c r="GQ110" s="45"/>
      <c r="GR110" s="45"/>
      <c r="GS110" s="45"/>
      <c r="GT110" s="45"/>
      <c r="GU110" s="45"/>
      <c r="GV110" s="45"/>
      <c r="GW110" s="45"/>
      <c r="GX110" s="45"/>
      <c r="GY110" s="45"/>
      <c r="GZ110" s="45"/>
      <c r="HA110" s="45"/>
    </row>
    <row r="111" spans="1:209" ht="13.2">
      <c r="D111" s="21"/>
    </row>
    <row r="114" spans="3:33" ht="13.2">
      <c r="D114" s="20">
        <f t="shared" ref="D114:AG114" si="71">D48</f>
        <v>2021</v>
      </c>
      <c r="E114" s="20">
        <f t="shared" si="71"/>
        <v>2022</v>
      </c>
      <c r="F114" s="20">
        <f t="shared" si="71"/>
        <v>2023</v>
      </c>
      <c r="G114" s="20">
        <f t="shared" si="71"/>
        <v>2024</v>
      </c>
      <c r="H114" s="20">
        <f t="shared" si="71"/>
        <v>2025</v>
      </c>
      <c r="I114" s="20">
        <f t="shared" si="71"/>
        <v>2026</v>
      </c>
      <c r="J114" s="20">
        <f t="shared" si="71"/>
        <v>2027</v>
      </c>
      <c r="K114" s="20">
        <f t="shared" si="71"/>
        <v>2028</v>
      </c>
      <c r="L114" s="20">
        <f t="shared" si="71"/>
        <v>2029</v>
      </c>
      <c r="M114" s="20">
        <f t="shared" si="71"/>
        <v>2030</v>
      </c>
      <c r="N114" s="20">
        <f t="shared" si="71"/>
        <v>2031</v>
      </c>
      <c r="O114" s="20">
        <f t="shared" si="71"/>
        <v>2032</v>
      </c>
      <c r="P114" s="20">
        <f t="shared" si="71"/>
        <v>2033</v>
      </c>
      <c r="Q114" s="20">
        <f t="shared" si="71"/>
        <v>2034</v>
      </c>
      <c r="R114" s="20">
        <f t="shared" si="71"/>
        <v>2035</v>
      </c>
      <c r="S114" s="20">
        <f t="shared" si="71"/>
        <v>2036</v>
      </c>
      <c r="T114" s="20">
        <f t="shared" si="71"/>
        <v>2037</v>
      </c>
      <c r="U114" s="20">
        <f t="shared" si="71"/>
        <v>2038</v>
      </c>
      <c r="V114" s="20">
        <f t="shared" si="71"/>
        <v>2039</v>
      </c>
      <c r="W114" s="20">
        <f t="shared" si="71"/>
        <v>2040</v>
      </c>
      <c r="X114" s="20">
        <f t="shared" si="71"/>
        <v>2041</v>
      </c>
      <c r="Y114" s="20">
        <f t="shared" si="71"/>
        <v>2042</v>
      </c>
      <c r="Z114" s="20">
        <f t="shared" si="71"/>
        <v>2043</v>
      </c>
      <c r="AA114" s="20">
        <f t="shared" si="71"/>
        <v>2044</v>
      </c>
      <c r="AB114" s="20">
        <f t="shared" si="71"/>
        <v>2045</v>
      </c>
      <c r="AC114" s="20">
        <f t="shared" si="71"/>
        <v>2046</v>
      </c>
      <c r="AD114" s="20">
        <f t="shared" si="71"/>
        <v>2047</v>
      </c>
      <c r="AE114" s="20">
        <f t="shared" si="71"/>
        <v>2048</v>
      </c>
      <c r="AF114" s="20">
        <f t="shared" si="71"/>
        <v>2049</v>
      </c>
      <c r="AG114" s="20">
        <f t="shared" si="71"/>
        <v>2050</v>
      </c>
    </row>
    <row r="115" spans="3:33" ht="13.2">
      <c r="C115" s="20" t="s">
        <v>32</v>
      </c>
      <c r="D115" s="46" t="e">
        <f t="shared" ref="D115:AG115" ca="1" si="72">D110/1000000</f>
        <v>#VALUE!</v>
      </c>
      <c r="E115" s="46" t="e">
        <f t="shared" ca="1" si="72"/>
        <v>#VALUE!</v>
      </c>
      <c r="F115" s="46" t="e">
        <f t="shared" ca="1" si="72"/>
        <v>#VALUE!</v>
      </c>
      <c r="G115" s="46" t="e">
        <f t="shared" ca="1" si="72"/>
        <v>#VALUE!</v>
      </c>
      <c r="H115" s="46" t="e">
        <f t="shared" ca="1" si="72"/>
        <v>#VALUE!</v>
      </c>
      <c r="I115" s="46" t="e">
        <f t="shared" ca="1" si="72"/>
        <v>#VALUE!</v>
      </c>
      <c r="J115" s="46" t="e">
        <f t="shared" ca="1" si="72"/>
        <v>#VALUE!</v>
      </c>
      <c r="K115" s="46" t="e">
        <f t="shared" ca="1" si="72"/>
        <v>#VALUE!</v>
      </c>
      <c r="L115" s="46" t="e">
        <f t="shared" ca="1" si="72"/>
        <v>#VALUE!</v>
      </c>
      <c r="M115" s="46" t="e">
        <f t="shared" ca="1" si="72"/>
        <v>#VALUE!</v>
      </c>
      <c r="N115" s="46" t="e">
        <f t="shared" ca="1" si="72"/>
        <v>#VALUE!</v>
      </c>
      <c r="O115" s="46" t="e">
        <f t="shared" ca="1" si="72"/>
        <v>#VALUE!</v>
      </c>
      <c r="P115" s="46" t="e">
        <f t="shared" ca="1" si="72"/>
        <v>#VALUE!</v>
      </c>
      <c r="Q115" s="46" t="e">
        <f t="shared" ca="1" si="72"/>
        <v>#VALUE!</v>
      </c>
      <c r="R115" s="46" t="e">
        <f t="shared" ca="1" si="72"/>
        <v>#VALUE!</v>
      </c>
      <c r="S115" s="46" t="e">
        <f t="shared" ca="1" si="72"/>
        <v>#VALUE!</v>
      </c>
      <c r="T115" s="46" t="e">
        <f t="shared" ca="1" si="72"/>
        <v>#VALUE!</v>
      </c>
      <c r="U115" s="46" t="e">
        <f t="shared" ca="1" si="72"/>
        <v>#VALUE!</v>
      </c>
      <c r="V115" s="46" t="e">
        <f t="shared" ca="1" si="72"/>
        <v>#VALUE!</v>
      </c>
      <c r="W115" s="46" t="e">
        <f t="shared" ca="1" si="72"/>
        <v>#VALUE!</v>
      </c>
      <c r="X115" s="46" t="e">
        <f t="shared" ca="1" si="72"/>
        <v>#VALUE!</v>
      </c>
      <c r="Y115" s="46" t="e">
        <f t="shared" ca="1" si="72"/>
        <v>#VALUE!</v>
      </c>
      <c r="Z115" s="46" t="e">
        <f t="shared" ca="1" si="72"/>
        <v>#VALUE!</v>
      </c>
      <c r="AA115" s="46" t="e">
        <f t="shared" ca="1" si="72"/>
        <v>#VALUE!</v>
      </c>
      <c r="AB115" s="46" t="e">
        <f t="shared" ca="1" si="72"/>
        <v>#VALUE!</v>
      </c>
      <c r="AC115" s="46" t="e">
        <f t="shared" ca="1" si="72"/>
        <v>#VALUE!</v>
      </c>
      <c r="AD115" s="46" t="e">
        <f t="shared" ca="1" si="72"/>
        <v>#VALUE!</v>
      </c>
      <c r="AE115" s="46" t="e">
        <f t="shared" ca="1" si="72"/>
        <v>#VALUE!</v>
      </c>
      <c r="AF115" s="46" t="e">
        <f t="shared" ca="1" si="72"/>
        <v>#VALUE!</v>
      </c>
      <c r="AG115" s="46" t="e">
        <f t="shared" ca="1" si="72"/>
        <v>#VALUE!</v>
      </c>
    </row>
    <row r="119" spans="3:33" ht="13.2">
      <c r="D119" s="20">
        <v>2021</v>
      </c>
      <c r="E119" s="20">
        <v>2022</v>
      </c>
      <c r="F119" s="20">
        <v>2023</v>
      </c>
      <c r="G119" s="20">
        <v>2024</v>
      </c>
      <c r="H119" s="20">
        <v>2025</v>
      </c>
      <c r="I119" s="20">
        <v>2026</v>
      </c>
      <c r="J119" s="20">
        <v>2027</v>
      </c>
      <c r="K119" s="20">
        <v>2028</v>
      </c>
      <c r="L119" s="20">
        <v>2029</v>
      </c>
      <c r="M119" s="20">
        <v>2030</v>
      </c>
      <c r="N119" s="20">
        <v>2031</v>
      </c>
      <c r="O119" s="20">
        <v>2032</v>
      </c>
      <c r="P119" s="20">
        <v>2033</v>
      </c>
      <c r="Q119" s="20">
        <v>2034</v>
      </c>
      <c r="R119" s="20">
        <v>2035</v>
      </c>
      <c r="S119" s="20">
        <v>2036</v>
      </c>
      <c r="T119" s="20">
        <v>2037</v>
      </c>
      <c r="U119" s="20">
        <v>2038</v>
      </c>
      <c r="V119" s="20">
        <v>2039</v>
      </c>
      <c r="W119" s="20">
        <v>2040</v>
      </c>
      <c r="X119" s="20">
        <v>2041</v>
      </c>
      <c r="Y119" s="20">
        <v>2042</v>
      </c>
      <c r="Z119" s="20">
        <v>2043</v>
      </c>
      <c r="AA119" s="20">
        <v>2044</v>
      </c>
      <c r="AB119" s="20">
        <v>2045</v>
      </c>
      <c r="AC119" s="20">
        <v>2046</v>
      </c>
      <c r="AD119" s="20">
        <v>2047</v>
      </c>
      <c r="AE119" s="20">
        <v>2048</v>
      </c>
      <c r="AF119" s="20">
        <v>2049</v>
      </c>
      <c r="AG119" s="20">
        <v>2050</v>
      </c>
    </row>
    <row r="120" spans="3:33" ht="13.2">
      <c r="C120" s="20" t="str">
        <f>B94</f>
        <v>Residential</v>
      </c>
      <c r="D120" s="21">
        <f t="shared" ref="D120:AG120" si="73">D94+D95</f>
        <v>2826694.1775331241</v>
      </c>
      <c r="E120" s="21">
        <f t="shared" ca="1" si="73"/>
        <v>2496715.5294889752</v>
      </c>
      <c r="F120" s="21">
        <f t="shared" ca="1" si="73"/>
        <v>2452968.7457135743</v>
      </c>
      <c r="G120" s="21">
        <f t="shared" ca="1" si="73"/>
        <v>2460391.7806299739</v>
      </c>
      <c r="H120" s="21">
        <f t="shared" ca="1" si="73"/>
        <v>2541712.1657988867</v>
      </c>
      <c r="I120" s="21">
        <f t="shared" ca="1" si="73"/>
        <v>2495170.3270849679</v>
      </c>
      <c r="J120" s="21">
        <f t="shared" ca="1" si="73"/>
        <v>2440993.6234566057</v>
      </c>
      <c r="K120" s="21">
        <f t="shared" ca="1" si="73"/>
        <v>2418449.1256483649</v>
      </c>
      <c r="L120" s="21">
        <f t="shared" ca="1" si="73"/>
        <v>2448278.7979281242</v>
      </c>
      <c r="M120" s="21">
        <f t="shared" ca="1" si="73"/>
        <v>2485006.5072604707</v>
      </c>
      <c r="N120" s="21">
        <f t="shared" ca="1" si="73"/>
        <v>2492852.9932184634</v>
      </c>
      <c r="O120" s="21">
        <f t="shared" ca="1" si="73"/>
        <v>2509763.7551771821</v>
      </c>
      <c r="P120" s="21">
        <f t="shared" ca="1" si="73"/>
        <v>2520605.8469250179</v>
      </c>
      <c r="Q120" s="21">
        <f t="shared" ca="1" si="73"/>
        <v>2530130.2741173496</v>
      </c>
      <c r="R120" s="21">
        <f t="shared" ca="1" si="73"/>
        <v>2509549.454710626</v>
      </c>
      <c r="S120" s="21">
        <f t="shared" ca="1" si="73"/>
        <v>2484952.1272286838</v>
      </c>
      <c r="T120" s="21">
        <f t="shared" ca="1" si="73"/>
        <v>2460790.9010777464</v>
      </c>
      <c r="U120" s="21">
        <f t="shared" ca="1" si="73"/>
        <v>2427915.9742777022</v>
      </c>
      <c r="V120" s="21">
        <f t="shared" ca="1" si="73"/>
        <v>2400041.7294116728</v>
      </c>
      <c r="W120" s="21">
        <f t="shared" ca="1" si="73"/>
        <v>2371216.2395668672</v>
      </c>
      <c r="X120" s="21">
        <f t="shared" ca="1" si="73"/>
        <v>2347240.2525261054</v>
      </c>
      <c r="Y120" s="21">
        <f t="shared" ca="1" si="73"/>
        <v>2323972.4503973667</v>
      </c>
      <c r="Z120" s="21">
        <f t="shared" ca="1" si="73"/>
        <v>2306259.4159864094</v>
      </c>
      <c r="AA120" s="21">
        <f t="shared" ca="1" si="73"/>
        <v>2285319.4074142026</v>
      </c>
      <c r="AB120" s="21">
        <f t="shared" ca="1" si="73"/>
        <v>2271697.5823607715</v>
      </c>
      <c r="AC120" s="21">
        <f t="shared" ca="1" si="73"/>
        <v>2250447.8756289342</v>
      </c>
      <c r="AD120" s="21">
        <f t="shared" ca="1" si="73"/>
        <v>2231435.812887786</v>
      </c>
      <c r="AE120" s="21">
        <f t="shared" ca="1" si="73"/>
        <v>2220526.9349872358</v>
      </c>
      <c r="AF120" s="21">
        <f t="shared" ca="1" si="73"/>
        <v>2199930.9288639422</v>
      </c>
      <c r="AG120" s="21">
        <f t="shared" ca="1" si="73"/>
        <v>2178369.0155313299</v>
      </c>
    </row>
    <row r="121" spans="3:33" ht="13.2">
      <c r="C121" s="20" t="str">
        <f>B96</f>
        <v>Commercial</v>
      </c>
      <c r="D121" s="21">
        <f t="shared" ref="D121:AG121" si="74">D96+D97</f>
        <v>2310503.8609644743</v>
      </c>
      <c r="E121" s="21">
        <f t="shared" ca="1" si="74"/>
        <v>2145080.8475148198</v>
      </c>
      <c r="F121" s="21">
        <f t="shared" ca="1" si="74"/>
        <v>1979339.9557506549</v>
      </c>
      <c r="G121" s="21">
        <f t="shared" ca="1" si="74"/>
        <v>1973558.7408401854</v>
      </c>
      <c r="H121" s="21">
        <f t="shared" ca="1" si="74"/>
        <v>2036758.1763139921</v>
      </c>
      <c r="I121" s="21">
        <f t="shared" ca="1" si="74"/>
        <v>1991128.8678380277</v>
      </c>
      <c r="J121" s="21">
        <f t="shared" ca="1" si="74"/>
        <v>1949118.4226944542</v>
      </c>
      <c r="K121" s="21">
        <f t="shared" ca="1" si="74"/>
        <v>1931414.1232531182</v>
      </c>
      <c r="L121" s="21">
        <f t="shared" ca="1" si="74"/>
        <v>1956013.9085789449</v>
      </c>
      <c r="M121" s="21">
        <f t="shared" ca="1" si="74"/>
        <v>1984635.6286516876</v>
      </c>
      <c r="N121" s="21">
        <f t="shared" ca="1" si="74"/>
        <v>1992630.3895342876</v>
      </c>
      <c r="O121" s="21">
        <f t="shared" ca="1" si="74"/>
        <v>2008588.9050649172</v>
      </c>
      <c r="P121" s="21">
        <f t="shared" ca="1" si="74"/>
        <v>2019455.8052756554</v>
      </c>
      <c r="Q121" s="21">
        <f t="shared" ca="1" si="74"/>
        <v>2029506.3518344946</v>
      </c>
      <c r="R121" s="21">
        <f t="shared" ca="1" si="74"/>
        <v>2014610.9988161791</v>
      </c>
      <c r="S121" s="21">
        <f t="shared" ca="1" si="74"/>
        <v>1995953.6016954586</v>
      </c>
      <c r="T121" s="21">
        <f t="shared" ca="1" si="74"/>
        <v>1976625.0171649414</v>
      </c>
      <c r="U121" s="21">
        <f t="shared" ca="1" si="74"/>
        <v>1950271.7395645962</v>
      </c>
      <c r="V121" s="21">
        <f t="shared" ca="1" si="74"/>
        <v>1927264.1126672996</v>
      </c>
      <c r="W121" s="21">
        <f t="shared" ca="1" si="74"/>
        <v>1903330.4779827141</v>
      </c>
      <c r="X121" s="21">
        <f t="shared" ca="1" si="74"/>
        <v>1885402.9773688354</v>
      </c>
      <c r="Y121" s="21">
        <f t="shared" ca="1" si="74"/>
        <v>1868391.381413911</v>
      </c>
      <c r="Z121" s="21">
        <f t="shared" ca="1" si="74"/>
        <v>1855888.3526178852</v>
      </c>
      <c r="AA121" s="21">
        <f t="shared" ca="1" si="74"/>
        <v>1840084.8748883158</v>
      </c>
      <c r="AB121" s="21">
        <f t="shared" ca="1" si="74"/>
        <v>1830480.8625328597</v>
      </c>
      <c r="AC121" s="21">
        <f t="shared" ca="1" si="74"/>
        <v>1813147.5604981668</v>
      </c>
      <c r="AD121" s="21">
        <f t="shared" ca="1" si="74"/>
        <v>1798508.4982387321</v>
      </c>
      <c r="AE121" s="21">
        <f t="shared" ca="1" si="74"/>
        <v>1789755.0169049085</v>
      </c>
      <c r="AF121" s="21">
        <f t="shared" ca="1" si="74"/>
        <v>1773634.3022453687</v>
      </c>
      <c r="AG121" s="21">
        <f t="shared" ca="1" si="74"/>
        <v>1756369.5114320824</v>
      </c>
    </row>
    <row r="122" spans="3:33" ht="13.2">
      <c r="C122" s="20" t="str">
        <f>B98</f>
        <v>Industrial</v>
      </c>
      <c r="D122" s="21">
        <f t="shared" ref="D122:AG122" ca="1" si="75">D98+D99+D100</f>
        <v>2588948.372238928</v>
      </c>
      <c r="E122" s="21">
        <f t="shared" ca="1" si="75"/>
        <v>2466768.4210687098</v>
      </c>
      <c r="F122" s="21">
        <f t="shared" ca="1" si="75"/>
        <v>2378562.1850414118</v>
      </c>
      <c r="G122" s="21">
        <f t="shared" ca="1" si="75"/>
        <v>2376148.7497092015</v>
      </c>
      <c r="H122" s="21">
        <f t="shared" ca="1" si="75"/>
        <v>2446010.9353635646</v>
      </c>
      <c r="I122" s="21">
        <f t="shared" ca="1" si="75"/>
        <v>2426639.8237907332</v>
      </c>
      <c r="J122" s="21">
        <f t="shared" ca="1" si="75"/>
        <v>2388149.7930508</v>
      </c>
      <c r="K122" s="21">
        <f t="shared" ca="1" si="75"/>
        <v>2375324.5332072205</v>
      </c>
      <c r="L122" s="21">
        <f t="shared" ca="1" si="75"/>
        <v>2410870.1629124614</v>
      </c>
      <c r="M122" s="21">
        <f t="shared" ca="1" si="75"/>
        <v>2450287.7501375978</v>
      </c>
      <c r="N122" s="21">
        <f t="shared" ca="1" si="75"/>
        <v>2467716.0425424846</v>
      </c>
      <c r="O122" s="21">
        <f t="shared" ca="1" si="75"/>
        <v>2493864.8384447456</v>
      </c>
      <c r="P122" s="21">
        <f t="shared" ca="1" si="75"/>
        <v>2510109.0799344406</v>
      </c>
      <c r="Q122" s="21">
        <f t="shared" ca="1" si="75"/>
        <v>2523039.9793604119</v>
      </c>
      <c r="R122" s="21">
        <f t="shared" ca="1" si="75"/>
        <v>2513363.9588395511</v>
      </c>
      <c r="S122" s="21">
        <f t="shared" ca="1" si="75"/>
        <v>2498934.4356071297</v>
      </c>
      <c r="T122" s="21">
        <f t="shared" ca="1" si="75"/>
        <v>2487809.1806280864</v>
      </c>
      <c r="U122" s="21">
        <f t="shared" ca="1" si="75"/>
        <v>2469423.5955735706</v>
      </c>
      <c r="V122" s="21">
        <f t="shared" ca="1" si="75"/>
        <v>2452837.659120765</v>
      </c>
      <c r="W122" s="21">
        <f t="shared" ca="1" si="75"/>
        <v>2435747.5768958791</v>
      </c>
      <c r="X122" s="21">
        <f t="shared" ca="1" si="75"/>
        <v>2427112.2642754274</v>
      </c>
      <c r="Y122" s="21">
        <f t="shared" ca="1" si="75"/>
        <v>2421204.954324252</v>
      </c>
      <c r="Z122" s="21">
        <f t="shared" ca="1" si="75"/>
        <v>2418758.8614543923</v>
      </c>
      <c r="AA122" s="21">
        <f t="shared" ca="1" si="75"/>
        <v>2407389.8086441779</v>
      </c>
      <c r="AB122" s="21">
        <f t="shared" ca="1" si="75"/>
        <v>2406199.6323477244</v>
      </c>
      <c r="AC122" s="21">
        <f t="shared" ca="1" si="75"/>
        <v>2396655.5212786621</v>
      </c>
      <c r="AD122" s="21">
        <f t="shared" ca="1" si="75"/>
        <v>2383807.7169301971</v>
      </c>
      <c r="AE122" s="21">
        <f t="shared" ca="1" si="75"/>
        <v>2376469.3381803646</v>
      </c>
      <c r="AF122" s="21">
        <f t="shared" ca="1" si="75"/>
        <v>2363523.4360288293</v>
      </c>
      <c r="AG122" s="21">
        <f t="shared" ca="1" si="75"/>
        <v>2356534.1785509987</v>
      </c>
    </row>
    <row r="123" spans="3:33" ht="13.2">
      <c r="C123" s="20" t="s">
        <v>79</v>
      </c>
      <c r="D123" s="21" t="e">
        <f t="shared" ref="D123:AG123" si="76">D101</f>
        <v>#VALUE!</v>
      </c>
      <c r="E123" s="21" t="e">
        <f t="shared" si="76"/>
        <v>#VALUE!</v>
      </c>
      <c r="F123" s="21" t="e">
        <f t="shared" si="76"/>
        <v>#VALUE!</v>
      </c>
      <c r="G123" s="21" t="e">
        <f t="shared" si="76"/>
        <v>#VALUE!</v>
      </c>
      <c r="H123" s="21" t="e">
        <f t="shared" si="76"/>
        <v>#VALUE!</v>
      </c>
      <c r="I123" s="21" t="e">
        <f t="shared" si="76"/>
        <v>#VALUE!</v>
      </c>
      <c r="J123" s="21" t="e">
        <f t="shared" si="76"/>
        <v>#VALUE!</v>
      </c>
      <c r="K123" s="21" t="e">
        <f t="shared" si="76"/>
        <v>#VALUE!</v>
      </c>
      <c r="L123" s="21" t="e">
        <f t="shared" si="76"/>
        <v>#VALUE!</v>
      </c>
      <c r="M123" s="21" t="e">
        <f t="shared" si="76"/>
        <v>#VALUE!</v>
      </c>
      <c r="N123" s="21" t="e">
        <f t="shared" si="76"/>
        <v>#VALUE!</v>
      </c>
      <c r="O123" s="21" t="e">
        <f t="shared" si="76"/>
        <v>#VALUE!</v>
      </c>
      <c r="P123" s="21" t="e">
        <f t="shared" si="76"/>
        <v>#VALUE!</v>
      </c>
      <c r="Q123" s="21" t="e">
        <f t="shared" si="76"/>
        <v>#VALUE!</v>
      </c>
      <c r="R123" s="21" t="e">
        <f t="shared" si="76"/>
        <v>#VALUE!</v>
      </c>
      <c r="S123" s="21" t="e">
        <f t="shared" si="76"/>
        <v>#VALUE!</v>
      </c>
      <c r="T123" s="21" t="e">
        <f t="shared" si="76"/>
        <v>#VALUE!</v>
      </c>
      <c r="U123" s="21" t="e">
        <f t="shared" si="76"/>
        <v>#VALUE!</v>
      </c>
      <c r="V123" s="21" t="e">
        <f t="shared" si="76"/>
        <v>#VALUE!</v>
      </c>
      <c r="W123" s="21" t="e">
        <f t="shared" si="76"/>
        <v>#VALUE!</v>
      </c>
      <c r="X123" s="21" t="e">
        <f t="shared" si="76"/>
        <v>#VALUE!</v>
      </c>
      <c r="Y123" s="21" t="e">
        <f t="shared" si="76"/>
        <v>#VALUE!</v>
      </c>
      <c r="Z123" s="21" t="e">
        <f t="shared" si="76"/>
        <v>#VALUE!</v>
      </c>
      <c r="AA123" s="21" t="e">
        <f t="shared" si="76"/>
        <v>#VALUE!</v>
      </c>
      <c r="AB123" s="21" t="e">
        <f t="shared" si="76"/>
        <v>#VALUE!</v>
      </c>
      <c r="AC123" s="21" t="e">
        <f t="shared" si="76"/>
        <v>#VALUE!</v>
      </c>
      <c r="AD123" s="21" t="e">
        <f t="shared" si="76"/>
        <v>#VALUE!</v>
      </c>
      <c r="AE123" s="21" t="e">
        <f t="shared" si="76"/>
        <v>#VALUE!</v>
      </c>
      <c r="AF123" s="21" t="e">
        <f t="shared" si="76"/>
        <v>#VALUE!</v>
      </c>
      <c r="AG123" s="21" t="e">
        <f t="shared" si="76"/>
        <v>#VALUE!</v>
      </c>
    </row>
    <row r="124" spans="3:33" ht="13.2">
      <c r="C124" s="20" t="str">
        <f>B102</f>
        <v>Transportation</v>
      </c>
      <c r="D124" s="21">
        <f t="shared" ref="D124:AG124" ca="1" si="77">D102+D103+D104</f>
        <v>2961873.4786814894</v>
      </c>
      <c r="E124" s="21">
        <f t="shared" ca="1" si="77"/>
        <v>3039405.0527048069</v>
      </c>
      <c r="F124" s="21">
        <f t="shared" ca="1" si="77"/>
        <v>3092665.4462656309</v>
      </c>
      <c r="G124" s="21">
        <f t="shared" ca="1" si="77"/>
        <v>3080756.0865605874</v>
      </c>
      <c r="H124" s="21">
        <f t="shared" ca="1" si="77"/>
        <v>3068633.3988183797</v>
      </c>
      <c r="I124" s="21">
        <f t="shared" ca="1" si="77"/>
        <v>3048778.9661382129</v>
      </c>
      <c r="J124" s="21">
        <f t="shared" ca="1" si="77"/>
        <v>3022437.230028342</v>
      </c>
      <c r="K124" s="21">
        <f t="shared" ca="1" si="77"/>
        <v>2994553.9509399561</v>
      </c>
      <c r="L124" s="21">
        <f t="shared" ca="1" si="77"/>
        <v>2969003.909210172</v>
      </c>
      <c r="M124" s="21">
        <f t="shared" ca="1" si="77"/>
        <v>2946435.8098795507</v>
      </c>
      <c r="N124" s="21">
        <f t="shared" ca="1" si="77"/>
        <v>2905973.5768138957</v>
      </c>
      <c r="O124" s="21">
        <f t="shared" ca="1" si="77"/>
        <v>2866170.4777880139</v>
      </c>
      <c r="P124" s="21">
        <f t="shared" ca="1" si="77"/>
        <v>2831797.4855975597</v>
      </c>
      <c r="Q124" s="21">
        <f t="shared" ca="1" si="77"/>
        <v>2798398.5789545132</v>
      </c>
      <c r="R124" s="21">
        <f t="shared" ca="1" si="77"/>
        <v>2765526.7231144733</v>
      </c>
      <c r="S124" s="21">
        <f t="shared" ca="1" si="77"/>
        <v>2734780.9977442296</v>
      </c>
      <c r="T124" s="21">
        <f t="shared" ca="1" si="77"/>
        <v>2708411.8458345602</v>
      </c>
      <c r="U124" s="21">
        <f t="shared" ca="1" si="77"/>
        <v>2683820.1346295355</v>
      </c>
      <c r="V124" s="21">
        <f t="shared" ca="1" si="77"/>
        <v>2661380.8162869345</v>
      </c>
      <c r="W124" s="21">
        <f t="shared" ca="1" si="77"/>
        <v>2641173.3279384044</v>
      </c>
      <c r="X124" s="21">
        <f t="shared" ca="1" si="77"/>
        <v>2622308.478673399</v>
      </c>
      <c r="Y124" s="21">
        <f t="shared" ca="1" si="77"/>
        <v>2605826.1436629384</v>
      </c>
      <c r="Z124" s="21">
        <f t="shared" ca="1" si="77"/>
        <v>2590372.6696096878</v>
      </c>
      <c r="AA124" s="21">
        <f t="shared" ca="1" si="77"/>
        <v>2575954.0557586215</v>
      </c>
      <c r="AB124" s="21">
        <f t="shared" ca="1" si="77"/>
        <v>2563102.1001616823</v>
      </c>
      <c r="AC124" s="21">
        <f t="shared" ca="1" si="77"/>
        <v>2552718.4057535804</v>
      </c>
      <c r="AD124" s="21">
        <f t="shared" ca="1" si="77"/>
        <v>2541531.6341584325</v>
      </c>
      <c r="AE124" s="21">
        <f t="shared" ca="1" si="77"/>
        <v>2530013.4937122869</v>
      </c>
      <c r="AF124" s="21">
        <f t="shared" ca="1" si="77"/>
        <v>2521119.0329967383</v>
      </c>
      <c r="AG124" s="21">
        <f t="shared" ca="1" si="77"/>
        <v>2515284.0492094313</v>
      </c>
    </row>
    <row r="125" spans="3:33" ht="13.2">
      <c r="C125" s="20" t="str">
        <f t="shared" ref="C125:C128" si="78">B105</f>
        <v>Solid Waste</v>
      </c>
      <c r="D125" s="21" t="e">
        <f t="shared" ref="D125:AG125" si="79">D105</f>
        <v>#VALUE!</v>
      </c>
      <c r="E125" s="21" t="e">
        <f t="shared" si="79"/>
        <v>#VALUE!</v>
      </c>
      <c r="F125" s="21" t="e">
        <f t="shared" si="79"/>
        <v>#VALUE!</v>
      </c>
      <c r="G125" s="21" t="e">
        <f t="shared" si="79"/>
        <v>#VALUE!</v>
      </c>
      <c r="H125" s="21" t="e">
        <f t="shared" si="79"/>
        <v>#VALUE!</v>
      </c>
      <c r="I125" s="21" t="e">
        <f t="shared" si="79"/>
        <v>#VALUE!</v>
      </c>
      <c r="J125" s="21" t="e">
        <f t="shared" si="79"/>
        <v>#VALUE!</v>
      </c>
      <c r="K125" s="21" t="e">
        <f t="shared" si="79"/>
        <v>#VALUE!</v>
      </c>
      <c r="L125" s="21" t="e">
        <f t="shared" si="79"/>
        <v>#VALUE!</v>
      </c>
      <c r="M125" s="21" t="e">
        <f t="shared" si="79"/>
        <v>#VALUE!</v>
      </c>
      <c r="N125" s="21" t="e">
        <f t="shared" si="79"/>
        <v>#VALUE!</v>
      </c>
      <c r="O125" s="21" t="e">
        <f t="shared" si="79"/>
        <v>#VALUE!</v>
      </c>
      <c r="P125" s="21" t="e">
        <f t="shared" si="79"/>
        <v>#VALUE!</v>
      </c>
      <c r="Q125" s="21" t="e">
        <f t="shared" si="79"/>
        <v>#VALUE!</v>
      </c>
      <c r="R125" s="21" t="e">
        <f t="shared" si="79"/>
        <v>#VALUE!</v>
      </c>
      <c r="S125" s="21" t="e">
        <f t="shared" si="79"/>
        <v>#VALUE!</v>
      </c>
      <c r="T125" s="21" t="e">
        <f t="shared" si="79"/>
        <v>#VALUE!</v>
      </c>
      <c r="U125" s="21" t="e">
        <f t="shared" si="79"/>
        <v>#VALUE!</v>
      </c>
      <c r="V125" s="21" t="e">
        <f t="shared" si="79"/>
        <v>#VALUE!</v>
      </c>
      <c r="W125" s="21" t="e">
        <f t="shared" si="79"/>
        <v>#VALUE!</v>
      </c>
      <c r="X125" s="21" t="e">
        <f t="shared" si="79"/>
        <v>#VALUE!</v>
      </c>
      <c r="Y125" s="21" t="e">
        <f t="shared" si="79"/>
        <v>#VALUE!</v>
      </c>
      <c r="Z125" s="21" t="e">
        <f t="shared" si="79"/>
        <v>#VALUE!</v>
      </c>
      <c r="AA125" s="21" t="e">
        <f t="shared" si="79"/>
        <v>#VALUE!</v>
      </c>
      <c r="AB125" s="21" t="e">
        <f t="shared" si="79"/>
        <v>#VALUE!</v>
      </c>
      <c r="AC125" s="21" t="e">
        <f t="shared" si="79"/>
        <v>#VALUE!</v>
      </c>
      <c r="AD125" s="21" t="e">
        <f t="shared" si="79"/>
        <v>#VALUE!</v>
      </c>
      <c r="AE125" s="21" t="e">
        <f t="shared" si="79"/>
        <v>#VALUE!</v>
      </c>
      <c r="AF125" s="21" t="e">
        <f t="shared" si="79"/>
        <v>#VALUE!</v>
      </c>
      <c r="AG125" s="21" t="e">
        <f t="shared" si="79"/>
        <v>#VALUE!</v>
      </c>
    </row>
    <row r="126" spans="3:33" ht="13.2">
      <c r="C126" s="20" t="str">
        <f t="shared" si="78"/>
        <v>Wastewater</v>
      </c>
      <c r="D126" s="21" t="e">
        <f t="shared" ref="D126:AG126" si="80">D106</f>
        <v>#REF!</v>
      </c>
      <c r="E126" s="21" t="e">
        <f t="shared" si="80"/>
        <v>#REF!</v>
      </c>
      <c r="F126" s="21" t="e">
        <f t="shared" si="80"/>
        <v>#REF!</v>
      </c>
      <c r="G126" s="21" t="e">
        <f t="shared" si="80"/>
        <v>#REF!</v>
      </c>
      <c r="H126" s="21" t="e">
        <f t="shared" si="80"/>
        <v>#REF!</v>
      </c>
      <c r="I126" s="21" t="e">
        <f t="shared" si="80"/>
        <v>#REF!</v>
      </c>
      <c r="J126" s="21" t="e">
        <f t="shared" si="80"/>
        <v>#REF!</v>
      </c>
      <c r="K126" s="21" t="e">
        <f t="shared" si="80"/>
        <v>#REF!</v>
      </c>
      <c r="L126" s="21" t="e">
        <f t="shared" si="80"/>
        <v>#REF!</v>
      </c>
      <c r="M126" s="21" t="e">
        <f t="shared" si="80"/>
        <v>#REF!</v>
      </c>
      <c r="N126" s="21" t="e">
        <f t="shared" si="80"/>
        <v>#REF!</v>
      </c>
      <c r="O126" s="21" t="e">
        <f t="shared" si="80"/>
        <v>#REF!</v>
      </c>
      <c r="P126" s="21" t="e">
        <f t="shared" si="80"/>
        <v>#REF!</v>
      </c>
      <c r="Q126" s="21" t="e">
        <f t="shared" si="80"/>
        <v>#REF!</v>
      </c>
      <c r="R126" s="21" t="e">
        <f t="shared" si="80"/>
        <v>#REF!</v>
      </c>
      <c r="S126" s="21" t="e">
        <f t="shared" si="80"/>
        <v>#REF!</v>
      </c>
      <c r="T126" s="21" t="e">
        <f t="shared" si="80"/>
        <v>#REF!</v>
      </c>
      <c r="U126" s="21" t="e">
        <f t="shared" si="80"/>
        <v>#REF!</v>
      </c>
      <c r="V126" s="21" t="e">
        <f t="shared" si="80"/>
        <v>#REF!</v>
      </c>
      <c r="W126" s="21" t="e">
        <f t="shared" si="80"/>
        <v>#REF!</v>
      </c>
      <c r="X126" s="21" t="e">
        <f t="shared" si="80"/>
        <v>#REF!</v>
      </c>
      <c r="Y126" s="21" t="e">
        <f t="shared" si="80"/>
        <v>#REF!</v>
      </c>
      <c r="Z126" s="21" t="e">
        <f t="shared" si="80"/>
        <v>#REF!</v>
      </c>
      <c r="AA126" s="21" t="e">
        <f t="shared" si="80"/>
        <v>#REF!</v>
      </c>
      <c r="AB126" s="21" t="e">
        <f t="shared" si="80"/>
        <v>#REF!</v>
      </c>
      <c r="AC126" s="21" t="e">
        <f t="shared" si="80"/>
        <v>#REF!</v>
      </c>
      <c r="AD126" s="21" t="e">
        <f t="shared" si="80"/>
        <v>#REF!</v>
      </c>
      <c r="AE126" s="21" t="e">
        <f t="shared" si="80"/>
        <v>#REF!</v>
      </c>
      <c r="AF126" s="21" t="e">
        <f t="shared" si="80"/>
        <v>#REF!</v>
      </c>
      <c r="AG126" s="21" t="e">
        <f t="shared" si="80"/>
        <v>#REF!</v>
      </c>
    </row>
    <row r="127" spans="3:33" ht="13.2">
      <c r="C127" s="20" t="str">
        <f t="shared" si="78"/>
        <v>Agriculture</v>
      </c>
      <c r="D127" s="21" t="e">
        <f t="shared" ref="D127:AG127" ca="1" si="81">D107</f>
        <v>#VALUE!</v>
      </c>
      <c r="E127" s="21" t="e">
        <f t="shared" ca="1" si="81"/>
        <v>#VALUE!</v>
      </c>
      <c r="F127" s="21" t="e">
        <f t="shared" ca="1" si="81"/>
        <v>#VALUE!</v>
      </c>
      <c r="G127" s="21" t="e">
        <f t="shared" ca="1" si="81"/>
        <v>#VALUE!</v>
      </c>
      <c r="H127" s="21" t="e">
        <f t="shared" ca="1" si="81"/>
        <v>#VALUE!</v>
      </c>
      <c r="I127" s="21" t="e">
        <f t="shared" ca="1" si="81"/>
        <v>#VALUE!</v>
      </c>
      <c r="J127" s="21" t="e">
        <f t="shared" ca="1" si="81"/>
        <v>#VALUE!</v>
      </c>
      <c r="K127" s="21" t="e">
        <f t="shared" ca="1" si="81"/>
        <v>#VALUE!</v>
      </c>
      <c r="L127" s="21" t="e">
        <f t="shared" ca="1" si="81"/>
        <v>#VALUE!</v>
      </c>
      <c r="M127" s="21" t="e">
        <f t="shared" ca="1" si="81"/>
        <v>#VALUE!</v>
      </c>
      <c r="N127" s="21" t="e">
        <f t="shared" ca="1" si="81"/>
        <v>#VALUE!</v>
      </c>
      <c r="O127" s="21" t="e">
        <f t="shared" ca="1" si="81"/>
        <v>#VALUE!</v>
      </c>
      <c r="P127" s="21" t="e">
        <f t="shared" ca="1" si="81"/>
        <v>#VALUE!</v>
      </c>
      <c r="Q127" s="21" t="e">
        <f t="shared" ca="1" si="81"/>
        <v>#VALUE!</v>
      </c>
      <c r="R127" s="21" t="e">
        <f t="shared" ca="1" si="81"/>
        <v>#VALUE!</v>
      </c>
      <c r="S127" s="21" t="e">
        <f t="shared" ca="1" si="81"/>
        <v>#VALUE!</v>
      </c>
      <c r="T127" s="21" t="e">
        <f t="shared" ca="1" si="81"/>
        <v>#VALUE!</v>
      </c>
      <c r="U127" s="21" t="e">
        <f t="shared" ca="1" si="81"/>
        <v>#VALUE!</v>
      </c>
      <c r="V127" s="21" t="e">
        <f t="shared" ca="1" si="81"/>
        <v>#VALUE!</v>
      </c>
      <c r="W127" s="21" t="e">
        <f t="shared" ca="1" si="81"/>
        <v>#VALUE!</v>
      </c>
      <c r="X127" s="21" t="e">
        <f t="shared" ca="1" si="81"/>
        <v>#VALUE!</v>
      </c>
      <c r="Y127" s="21" t="e">
        <f t="shared" ca="1" si="81"/>
        <v>#VALUE!</v>
      </c>
      <c r="Z127" s="21" t="e">
        <f t="shared" ca="1" si="81"/>
        <v>#VALUE!</v>
      </c>
      <c r="AA127" s="21" t="e">
        <f t="shared" ca="1" si="81"/>
        <v>#VALUE!</v>
      </c>
      <c r="AB127" s="21" t="e">
        <f t="shared" ca="1" si="81"/>
        <v>#VALUE!</v>
      </c>
      <c r="AC127" s="21" t="e">
        <f t="shared" ca="1" si="81"/>
        <v>#VALUE!</v>
      </c>
      <c r="AD127" s="21" t="e">
        <f t="shared" ca="1" si="81"/>
        <v>#VALUE!</v>
      </c>
      <c r="AE127" s="21" t="e">
        <f t="shared" ca="1" si="81"/>
        <v>#VALUE!</v>
      </c>
      <c r="AF127" s="21" t="e">
        <f t="shared" ca="1" si="81"/>
        <v>#VALUE!</v>
      </c>
      <c r="AG127" s="21" t="e">
        <f t="shared" ca="1" si="81"/>
        <v>#VALUE!</v>
      </c>
    </row>
    <row r="128" spans="3:33" ht="13.2">
      <c r="C128" s="20" t="str">
        <f t="shared" si="78"/>
        <v>Urban Forest</v>
      </c>
      <c r="D128" s="21" t="e">
        <f t="shared" ref="D128:AG128" ca="1" si="82">D108</f>
        <v>#VALUE!</v>
      </c>
      <c r="E128" s="21" t="e">
        <f t="shared" ca="1" si="82"/>
        <v>#VALUE!</v>
      </c>
      <c r="F128" s="21" t="e">
        <f t="shared" ca="1" si="82"/>
        <v>#VALUE!</v>
      </c>
      <c r="G128" s="21" t="e">
        <f t="shared" ca="1" si="82"/>
        <v>#VALUE!</v>
      </c>
      <c r="H128" s="21" t="e">
        <f t="shared" ca="1" si="82"/>
        <v>#VALUE!</v>
      </c>
      <c r="I128" s="21" t="e">
        <f t="shared" ca="1" si="82"/>
        <v>#VALUE!</v>
      </c>
      <c r="J128" s="21" t="e">
        <f t="shared" ca="1" si="82"/>
        <v>#VALUE!</v>
      </c>
      <c r="K128" s="21" t="e">
        <f t="shared" ca="1" si="82"/>
        <v>#VALUE!</v>
      </c>
      <c r="L128" s="21" t="e">
        <f t="shared" ca="1" si="82"/>
        <v>#VALUE!</v>
      </c>
      <c r="M128" s="21" t="e">
        <f t="shared" ca="1" si="82"/>
        <v>#VALUE!</v>
      </c>
      <c r="N128" s="21" t="e">
        <f t="shared" ca="1" si="82"/>
        <v>#VALUE!</v>
      </c>
      <c r="O128" s="21" t="e">
        <f t="shared" ca="1" si="82"/>
        <v>#VALUE!</v>
      </c>
      <c r="P128" s="21" t="e">
        <f t="shared" ca="1" si="82"/>
        <v>#VALUE!</v>
      </c>
      <c r="Q128" s="21" t="e">
        <f t="shared" ca="1" si="82"/>
        <v>#VALUE!</v>
      </c>
      <c r="R128" s="21" t="e">
        <f t="shared" ca="1" si="82"/>
        <v>#VALUE!</v>
      </c>
      <c r="S128" s="21" t="e">
        <f t="shared" ca="1" si="82"/>
        <v>#VALUE!</v>
      </c>
      <c r="T128" s="21" t="e">
        <f t="shared" ca="1" si="82"/>
        <v>#VALUE!</v>
      </c>
      <c r="U128" s="21" t="e">
        <f t="shared" ca="1" si="82"/>
        <v>#VALUE!</v>
      </c>
      <c r="V128" s="21" t="e">
        <f t="shared" ca="1" si="82"/>
        <v>#VALUE!</v>
      </c>
      <c r="W128" s="21" t="e">
        <f t="shared" ca="1" si="82"/>
        <v>#VALUE!</v>
      </c>
      <c r="X128" s="21" t="e">
        <f t="shared" ca="1" si="82"/>
        <v>#VALUE!</v>
      </c>
      <c r="Y128" s="21" t="e">
        <f t="shared" ca="1" si="82"/>
        <v>#VALUE!</v>
      </c>
      <c r="Z128" s="21" t="e">
        <f t="shared" ca="1" si="82"/>
        <v>#VALUE!</v>
      </c>
      <c r="AA128" s="21" t="e">
        <f t="shared" ca="1" si="82"/>
        <v>#VALUE!</v>
      </c>
      <c r="AB128" s="21" t="e">
        <f t="shared" ca="1" si="82"/>
        <v>#VALUE!</v>
      </c>
      <c r="AC128" s="21" t="e">
        <f t="shared" ca="1" si="82"/>
        <v>#VALUE!</v>
      </c>
      <c r="AD128" s="21" t="e">
        <f t="shared" ca="1" si="82"/>
        <v>#VALUE!</v>
      </c>
      <c r="AE128" s="21" t="e">
        <f t="shared" ca="1" si="82"/>
        <v>#VALUE!</v>
      </c>
      <c r="AF128" s="21" t="e">
        <f t="shared" ca="1" si="82"/>
        <v>#VALUE!</v>
      </c>
      <c r="AG128" s="21" t="e">
        <f t="shared" ca="1" si="82"/>
        <v>#VALUE!</v>
      </c>
    </row>
    <row r="131" spans="1:33" ht="13.2">
      <c r="D131" s="20">
        <v>2021</v>
      </c>
      <c r="E131" s="20">
        <v>2022</v>
      </c>
      <c r="F131" s="20">
        <v>2023</v>
      </c>
      <c r="G131" s="20">
        <v>2024</v>
      </c>
      <c r="H131" s="20">
        <v>2025</v>
      </c>
      <c r="I131" s="20">
        <v>2026</v>
      </c>
      <c r="J131" s="20">
        <v>2027</v>
      </c>
      <c r="K131" s="20">
        <v>2028</v>
      </c>
      <c r="L131" s="20">
        <v>2029</v>
      </c>
      <c r="M131" s="20">
        <v>2030</v>
      </c>
      <c r="N131" s="20">
        <v>2031</v>
      </c>
      <c r="O131" s="20">
        <v>2032</v>
      </c>
      <c r="P131" s="20">
        <v>2033</v>
      </c>
      <c r="Q131" s="20">
        <v>2034</v>
      </c>
      <c r="R131" s="20">
        <v>2035</v>
      </c>
      <c r="S131" s="20">
        <v>2036</v>
      </c>
      <c r="T131" s="20">
        <v>2037</v>
      </c>
      <c r="U131" s="20">
        <v>2038</v>
      </c>
      <c r="V131" s="20">
        <v>2039</v>
      </c>
      <c r="W131" s="20">
        <v>2040</v>
      </c>
      <c r="X131" s="20">
        <v>2041</v>
      </c>
      <c r="Y131" s="20">
        <v>2042</v>
      </c>
      <c r="Z131" s="20">
        <v>2043</v>
      </c>
      <c r="AA131" s="20">
        <v>2044</v>
      </c>
      <c r="AB131" s="20">
        <v>2045</v>
      </c>
      <c r="AC131" s="20">
        <v>2046</v>
      </c>
      <c r="AD131" s="20">
        <v>2047</v>
      </c>
      <c r="AE131" s="20">
        <v>2048</v>
      </c>
      <c r="AF131" s="20">
        <v>2049</v>
      </c>
      <c r="AG131" s="20">
        <v>2050</v>
      </c>
    </row>
    <row r="132" spans="1:33" ht="13.2">
      <c r="C132" s="20" t="str">
        <f t="shared" ref="C132:C133" si="83">C94</f>
        <v>Electricity</v>
      </c>
      <c r="D132" s="21">
        <f t="shared" ref="D132:AG132" si="84">D94+D96+D98+D102</f>
        <v>4915791.3960679919</v>
      </c>
      <c r="E132" s="21">
        <f t="shared" ca="1" si="84"/>
        <v>4299125.7925750371</v>
      </c>
      <c r="F132" s="21">
        <f t="shared" ca="1" si="84"/>
        <v>3908773.6035969877</v>
      </c>
      <c r="G132" s="21">
        <f t="shared" ca="1" si="84"/>
        <v>3901662.5735029499</v>
      </c>
      <c r="H132" s="21">
        <f t="shared" ca="1" si="84"/>
        <v>4108575.3431366286</v>
      </c>
      <c r="I132" s="21">
        <f t="shared" ca="1" si="84"/>
        <v>3993547.5879851812</v>
      </c>
      <c r="J132" s="21">
        <f t="shared" ca="1" si="84"/>
        <v>3863200.821578552</v>
      </c>
      <c r="K132" s="21">
        <f t="shared" ca="1" si="84"/>
        <v>3818518.1180685433</v>
      </c>
      <c r="L132" s="21">
        <f t="shared" ca="1" si="84"/>
        <v>3918266.8938070997</v>
      </c>
      <c r="M132" s="21">
        <f t="shared" ca="1" si="84"/>
        <v>4031128.2752826093</v>
      </c>
      <c r="N132" s="21">
        <f t="shared" ca="1" si="84"/>
        <v>4086259.4622268104</v>
      </c>
      <c r="O132" s="21">
        <f t="shared" ca="1" si="84"/>
        <v>4162794.2332019457</v>
      </c>
      <c r="P132" s="21">
        <f t="shared" ca="1" si="84"/>
        <v>4221129.5592615968</v>
      </c>
      <c r="Q132" s="21">
        <f t="shared" ca="1" si="84"/>
        <v>4272134.9253108753</v>
      </c>
      <c r="R132" s="21">
        <f t="shared" ca="1" si="84"/>
        <v>4241085.3465661583</v>
      </c>
      <c r="S132" s="21">
        <f t="shared" ca="1" si="84"/>
        <v>4198253.941512486</v>
      </c>
      <c r="T132" s="21">
        <f t="shared" ca="1" si="84"/>
        <v>4158328.769483441</v>
      </c>
      <c r="U132" s="21">
        <f t="shared" ca="1" si="84"/>
        <v>4094613.0162379025</v>
      </c>
      <c r="V132" s="21">
        <f t="shared" ca="1" si="84"/>
        <v>4041891.1093440326</v>
      </c>
      <c r="W132" s="21">
        <f t="shared" ca="1" si="84"/>
        <v>3985572.9832357736</v>
      </c>
      <c r="X132" s="21">
        <f t="shared" ca="1" si="84"/>
        <v>3946567.9980487777</v>
      </c>
      <c r="Y132" s="21">
        <f t="shared" ca="1" si="84"/>
        <v>3910011.3062310447</v>
      </c>
      <c r="Z132" s="21">
        <f t="shared" ca="1" si="84"/>
        <v>3886044.4943487858</v>
      </c>
      <c r="AA132" s="21">
        <f t="shared" ca="1" si="84"/>
        <v>3849036.3244714518</v>
      </c>
      <c r="AB132" s="21">
        <f t="shared" ca="1" si="84"/>
        <v>3832088.9324572608</v>
      </c>
      <c r="AC132" s="21">
        <f t="shared" ca="1" si="84"/>
        <v>3793934.4560293248</v>
      </c>
      <c r="AD132" s="21">
        <f t="shared" ca="1" si="84"/>
        <v>3759943.2836365392</v>
      </c>
      <c r="AE132" s="21">
        <f t="shared" ca="1" si="84"/>
        <v>3744263.7855719277</v>
      </c>
      <c r="AF132" s="21">
        <f t="shared" ca="1" si="84"/>
        <v>3705702.8593054661</v>
      </c>
      <c r="AG132" s="21">
        <f t="shared" ca="1" si="84"/>
        <v>3667833.4391386956</v>
      </c>
    </row>
    <row r="133" spans="1:33" ht="13.2">
      <c r="C133" s="20" t="str">
        <f t="shared" si="83"/>
        <v>Natural Gas</v>
      </c>
      <c r="D133" s="21">
        <f t="shared" ref="D133:AG133" si="85">D95+D97+D99</f>
        <v>2241152.1485611517</v>
      </c>
      <c r="E133" s="21">
        <f t="shared" ca="1" si="85"/>
        <v>2243236.0635351753</v>
      </c>
      <c r="F133" s="21">
        <f t="shared" ca="1" si="85"/>
        <v>2336384.2742026374</v>
      </c>
      <c r="G133" s="21">
        <f t="shared" ca="1" si="85"/>
        <v>2343614.6694061328</v>
      </c>
      <c r="H133" s="21">
        <f t="shared" ca="1" si="85"/>
        <v>2352306.5682224552</v>
      </c>
      <c r="I133" s="21">
        <f t="shared" ca="1" si="85"/>
        <v>2356656.4610408237</v>
      </c>
      <c r="J133" s="21">
        <f t="shared" ca="1" si="85"/>
        <v>2353120.8070054473</v>
      </c>
      <c r="K133" s="21">
        <f t="shared" ca="1" si="85"/>
        <v>2345630.141653785</v>
      </c>
      <c r="L133" s="21">
        <f t="shared" ca="1" si="85"/>
        <v>2337071.0415606224</v>
      </c>
      <c r="M133" s="21">
        <f t="shared" ca="1" si="85"/>
        <v>2330312.3311016746</v>
      </c>
      <c r="N133" s="21">
        <f t="shared" ca="1" si="85"/>
        <v>2309668.3205925897</v>
      </c>
      <c r="O133" s="21">
        <f t="shared" ca="1" si="85"/>
        <v>2293431.6186364759</v>
      </c>
      <c r="P133" s="21">
        <f t="shared" ca="1" si="85"/>
        <v>2274296.3552454524</v>
      </c>
      <c r="Q133" s="21">
        <f t="shared" ca="1" si="85"/>
        <v>2257034.1598904417</v>
      </c>
      <c r="R133" s="21">
        <f t="shared" ca="1" si="85"/>
        <v>2243841.5728205908</v>
      </c>
      <c r="S133" s="21">
        <f t="shared" ca="1" si="85"/>
        <v>2229824.4897048371</v>
      </c>
      <c r="T133" s="21">
        <f t="shared" ca="1" si="85"/>
        <v>2215939.5829330687</v>
      </c>
      <c r="U133" s="21">
        <f t="shared" ca="1" si="85"/>
        <v>2202712.6116756923</v>
      </c>
      <c r="V133" s="21">
        <f t="shared" ca="1" si="85"/>
        <v>2188661.6082072756</v>
      </c>
      <c r="W133" s="21">
        <f t="shared" ca="1" si="85"/>
        <v>2175792.7578238505</v>
      </c>
      <c r="X133" s="21">
        <f t="shared" ca="1" si="85"/>
        <v>2164945.867378294</v>
      </c>
      <c r="Y133" s="21">
        <f t="shared" ca="1" si="85"/>
        <v>2155958.5287760189</v>
      </c>
      <c r="Z133" s="21">
        <f t="shared" ca="1" si="85"/>
        <v>2147956.5589471543</v>
      </c>
      <c r="AA133" s="21">
        <f t="shared" ca="1" si="85"/>
        <v>2137464.5896058427</v>
      </c>
      <c r="AB133" s="21">
        <f t="shared" ca="1" si="85"/>
        <v>2130675.0159785752</v>
      </c>
      <c r="AC133" s="21">
        <f t="shared" ca="1" si="85"/>
        <v>2121233.9998087985</v>
      </c>
      <c r="AD133" s="21">
        <f t="shared" ca="1" si="85"/>
        <v>2109259.4094067793</v>
      </c>
      <c r="AE133" s="21">
        <f t="shared" ca="1" si="85"/>
        <v>2098566.6133531085</v>
      </c>
      <c r="AF133" s="21">
        <f t="shared" ca="1" si="85"/>
        <v>2087896.7680873512</v>
      </c>
      <c r="AG133" s="21">
        <f t="shared" ca="1" si="85"/>
        <v>2080336.2246649084</v>
      </c>
    </row>
    <row r="134" spans="1:33" ht="13.2">
      <c r="C134" s="20" t="str">
        <f t="shared" ref="C134:AG134" si="86">C103</f>
        <v>Gasoline</v>
      </c>
      <c r="D134" s="21">
        <f t="shared" ca="1" si="86"/>
        <v>2366884.2549449713</v>
      </c>
      <c r="E134" s="21">
        <f t="shared" ca="1" si="86"/>
        <v>2436705.0456391177</v>
      </c>
      <c r="F134" s="21">
        <f t="shared" ca="1" si="86"/>
        <v>2482536.8846862111</v>
      </c>
      <c r="G134" s="21">
        <f t="shared" ca="1" si="86"/>
        <v>2474773.0432362733</v>
      </c>
      <c r="H134" s="21">
        <f t="shared" ca="1" si="86"/>
        <v>2463826.9300621613</v>
      </c>
      <c r="I134" s="21">
        <f t="shared" ca="1" si="86"/>
        <v>2446996.7964755655</v>
      </c>
      <c r="J134" s="21">
        <f t="shared" ca="1" si="86"/>
        <v>2425988.6402863418</v>
      </c>
      <c r="K134" s="21">
        <f t="shared" ca="1" si="86"/>
        <v>2403453.9226456955</v>
      </c>
      <c r="L134" s="21">
        <f t="shared" ca="1" si="86"/>
        <v>2383297.8713726024</v>
      </c>
      <c r="M134" s="21">
        <f t="shared" ca="1" si="86"/>
        <v>2365987.5977693056</v>
      </c>
      <c r="N134" s="21">
        <f t="shared" ca="1" si="86"/>
        <v>2335493.4608121389</v>
      </c>
      <c r="O134" s="21">
        <f t="shared" ca="1" si="86"/>
        <v>2304244.6740746312</v>
      </c>
      <c r="P134" s="21">
        <f t="shared" ca="1" si="86"/>
        <v>2277621.0043256734</v>
      </c>
      <c r="Q134" s="21">
        <f t="shared" ca="1" si="86"/>
        <v>2252211.646285994</v>
      </c>
      <c r="R134" s="21">
        <f t="shared" ca="1" si="86"/>
        <v>2226795.4458282562</v>
      </c>
      <c r="S134" s="21">
        <f t="shared" ca="1" si="86"/>
        <v>2203309.6813881705</v>
      </c>
      <c r="T134" s="21">
        <f t="shared" ca="1" si="86"/>
        <v>2182819.3852301249</v>
      </c>
      <c r="U134" s="21">
        <f t="shared" ca="1" si="86"/>
        <v>2163667.3799413689</v>
      </c>
      <c r="V134" s="21">
        <f t="shared" ca="1" si="86"/>
        <v>2146860.1528424574</v>
      </c>
      <c r="W134" s="21">
        <f t="shared" ca="1" si="86"/>
        <v>2131618.0019127652</v>
      </c>
      <c r="X134" s="21">
        <f t="shared" ca="1" si="86"/>
        <v>2117404.5673704334</v>
      </c>
      <c r="Y134" s="21">
        <f t="shared" ca="1" si="86"/>
        <v>2104499.4683017577</v>
      </c>
      <c r="Z134" s="21">
        <f t="shared" ca="1" si="86"/>
        <v>2092377.4301744192</v>
      </c>
      <c r="AA134" s="21">
        <f t="shared" ca="1" si="86"/>
        <v>2081680.8792593786</v>
      </c>
      <c r="AB134" s="21">
        <f t="shared" ca="1" si="86"/>
        <v>2072531.4460199664</v>
      </c>
      <c r="AC134" s="21">
        <f t="shared" ca="1" si="86"/>
        <v>2065484.9902837174</v>
      </c>
      <c r="AD134" s="21">
        <f t="shared" ca="1" si="86"/>
        <v>2058352.0076769695</v>
      </c>
      <c r="AE134" s="21">
        <f t="shared" ca="1" si="86"/>
        <v>2051439.6425076232</v>
      </c>
      <c r="AF134" s="21">
        <f t="shared" ca="1" si="86"/>
        <v>2046378.3157715695</v>
      </c>
      <c r="AG134" s="21">
        <f t="shared" ca="1" si="86"/>
        <v>2043426.5411720062</v>
      </c>
    </row>
    <row r="135" spans="1:33" ht="13.2">
      <c r="C135" s="20" t="str">
        <f t="shared" ref="C135:AG135" si="87">C104</f>
        <v>Diesel</v>
      </c>
      <c r="D135" s="21">
        <f t="shared" si="87"/>
        <v>594989.22373651795</v>
      </c>
      <c r="E135" s="21">
        <f t="shared" ca="1" si="87"/>
        <v>599700.08292059973</v>
      </c>
      <c r="F135" s="21">
        <f t="shared" ca="1" si="87"/>
        <v>606638.70417805389</v>
      </c>
      <c r="G135" s="21">
        <f t="shared" ca="1" si="87"/>
        <v>601602.20548721007</v>
      </c>
      <c r="H135" s="21">
        <f t="shared" ca="1" si="87"/>
        <v>599202.96876619628</v>
      </c>
      <c r="I135" s="21">
        <f t="shared" ca="1" si="87"/>
        <v>595314.27324298956</v>
      </c>
      <c r="J135" s="21">
        <f t="shared" ca="1" si="87"/>
        <v>589185.93425247818</v>
      </c>
      <c r="K135" s="21">
        <f t="shared" ca="1" si="87"/>
        <v>582936.68457325385</v>
      </c>
      <c r="L135" s="21">
        <f t="shared" ca="1" si="87"/>
        <v>576328.10578199616</v>
      </c>
      <c r="M135" s="21">
        <f t="shared" ca="1" si="87"/>
        <v>569734.62566833547</v>
      </c>
      <c r="N135" s="21">
        <f t="shared" ca="1" si="87"/>
        <v>558548.89237021049</v>
      </c>
      <c r="O135" s="21">
        <f t="shared" ca="1" si="87"/>
        <v>548714.58445442421</v>
      </c>
      <c r="P135" s="21">
        <f t="shared" ca="1" si="87"/>
        <v>539718.43279256858</v>
      </c>
      <c r="Q135" s="21">
        <f t="shared" ca="1" si="87"/>
        <v>530491.58667207696</v>
      </c>
      <c r="R135" s="21">
        <f t="shared" ca="1" si="87"/>
        <v>522125.90415844216</v>
      </c>
      <c r="S135" s="21">
        <f t="shared" ca="1" si="87"/>
        <v>514030.18356262683</v>
      </c>
      <c r="T135" s="21">
        <f t="shared" ca="1" si="87"/>
        <v>507346.34095131827</v>
      </c>
      <c r="U135" s="21">
        <f t="shared" ca="1" si="87"/>
        <v>501235.57008305902</v>
      </c>
      <c r="V135" s="21">
        <f t="shared" ca="1" si="87"/>
        <v>494908.58098552469</v>
      </c>
      <c r="W135" s="21">
        <f t="shared" ca="1" si="87"/>
        <v>489281.01330409414</v>
      </c>
      <c r="X135" s="21">
        <f t="shared" ca="1" si="87"/>
        <v>483942.67393887986</v>
      </c>
      <c r="Y135" s="21">
        <f t="shared" ca="1" si="87"/>
        <v>479722.7603822645</v>
      </c>
      <c r="Z135" s="21">
        <f t="shared" ca="1" si="87"/>
        <v>475697.95009063376</v>
      </c>
      <c r="AA135" s="21">
        <f t="shared" ca="1" si="87"/>
        <v>471363.48726126214</v>
      </c>
      <c r="AB135" s="21">
        <f t="shared" ca="1" si="87"/>
        <v>466981.91683985392</v>
      </c>
      <c r="AC135" s="21">
        <f t="shared" ca="1" si="87"/>
        <v>463113.05093012116</v>
      </c>
      <c r="AD135" s="21">
        <f t="shared" ca="1" si="87"/>
        <v>458526.09538747766</v>
      </c>
      <c r="AE135" s="21">
        <f t="shared" ca="1" si="87"/>
        <v>453291.87624475401</v>
      </c>
      <c r="AF135" s="21">
        <f t="shared" ca="1" si="87"/>
        <v>449026.89086311008</v>
      </c>
      <c r="AG135" s="21">
        <f t="shared" ca="1" si="87"/>
        <v>445757.68364085036</v>
      </c>
    </row>
    <row r="136" spans="1:33" ht="13.2">
      <c r="C136" s="20" t="str">
        <f>C100</f>
        <v>Other</v>
      </c>
      <c r="D136" s="20" t="e">
        <f t="shared" ref="D136:AG136" ca="1" si="88">D100+D101</f>
        <v>#VALUE!</v>
      </c>
      <c r="E136" s="20" t="e">
        <f t="shared" ca="1" si="88"/>
        <v>#VALUE!</v>
      </c>
      <c r="F136" s="20" t="e">
        <f t="shared" ca="1" si="88"/>
        <v>#VALUE!</v>
      </c>
      <c r="G136" s="20" t="e">
        <f t="shared" ca="1" si="88"/>
        <v>#VALUE!</v>
      </c>
      <c r="H136" s="20" t="e">
        <f t="shared" ca="1" si="88"/>
        <v>#VALUE!</v>
      </c>
      <c r="I136" s="20" t="e">
        <f t="shared" ca="1" si="88"/>
        <v>#VALUE!</v>
      </c>
      <c r="J136" s="20" t="e">
        <f t="shared" ca="1" si="88"/>
        <v>#VALUE!</v>
      </c>
      <c r="K136" s="20" t="e">
        <f t="shared" ca="1" si="88"/>
        <v>#VALUE!</v>
      </c>
      <c r="L136" s="20" t="e">
        <f t="shared" ca="1" si="88"/>
        <v>#VALUE!</v>
      </c>
      <c r="M136" s="20" t="e">
        <f t="shared" ca="1" si="88"/>
        <v>#VALUE!</v>
      </c>
      <c r="N136" s="20" t="e">
        <f t="shared" ca="1" si="88"/>
        <v>#VALUE!</v>
      </c>
      <c r="O136" s="20" t="e">
        <f t="shared" ca="1" si="88"/>
        <v>#VALUE!</v>
      </c>
      <c r="P136" s="20" t="e">
        <f t="shared" ca="1" si="88"/>
        <v>#VALUE!</v>
      </c>
      <c r="Q136" s="20" t="e">
        <f t="shared" ca="1" si="88"/>
        <v>#VALUE!</v>
      </c>
      <c r="R136" s="20" t="e">
        <f t="shared" ca="1" si="88"/>
        <v>#VALUE!</v>
      </c>
      <c r="S136" s="20" t="e">
        <f t="shared" ca="1" si="88"/>
        <v>#VALUE!</v>
      </c>
      <c r="T136" s="20" t="e">
        <f t="shared" ca="1" si="88"/>
        <v>#VALUE!</v>
      </c>
      <c r="U136" s="20" t="e">
        <f t="shared" ca="1" si="88"/>
        <v>#VALUE!</v>
      </c>
      <c r="V136" s="20" t="e">
        <f t="shared" ca="1" si="88"/>
        <v>#VALUE!</v>
      </c>
      <c r="W136" s="20" t="e">
        <f t="shared" ca="1" si="88"/>
        <v>#VALUE!</v>
      </c>
      <c r="X136" s="20" t="e">
        <f t="shared" ca="1" si="88"/>
        <v>#VALUE!</v>
      </c>
      <c r="Y136" s="20" t="e">
        <f t="shared" ca="1" si="88"/>
        <v>#VALUE!</v>
      </c>
      <c r="Z136" s="20" t="e">
        <f t="shared" ca="1" si="88"/>
        <v>#VALUE!</v>
      </c>
      <c r="AA136" s="20" t="e">
        <f t="shared" ca="1" si="88"/>
        <v>#VALUE!</v>
      </c>
      <c r="AB136" s="20" t="e">
        <f t="shared" ca="1" si="88"/>
        <v>#VALUE!</v>
      </c>
      <c r="AC136" s="20" t="e">
        <f t="shared" ca="1" si="88"/>
        <v>#VALUE!</v>
      </c>
      <c r="AD136" s="20" t="e">
        <f t="shared" ca="1" si="88"/>
        <v>#VALUE!</v>
      </c>
      <c r="AE136" s="20" t="e">
        <f t="shared" ca="1" si="88"/>
        <v>#VALUE!</v>
      </c>
      <c r="AF136" s="20" t="e">
        <f t="shared" ca="1" si="88"/>
        <v>#VALUE!</v>
      </c>
      <c r="AG136" s="20" t="e">
        <f t="shared" ca="1" si="88"/>
        <v>#VALUE!</v>
      </c>
    </row>
    <row r="137" spans="1:33" ht="13.2">
      <c r="C137" s="20" t="str">
        <f>C105</f>
        <v>Non Energy</v>
      </c>
      <c r="D137" s="20" t="e">
        <f t="shared" ref="D137:AG137" ca="1" si="89">D105+D106+D107+D108</f>
        <v>#VALUE!</v>
      </c>
      <c r="E137" s="20" t="e">
        <f t="shared" ca="1" si="89"/>
        <v>#VALUE!</v>
      </c>
      <c r="F137" s="20" t="e">
        <f t="shared" ca="1" si="89"/>
        <v>#VALUE!</v>
      </c>
      <c r="G137" s="20" t="e">
        <f t="shared" ca="1" si="89"/>
        <v>#VALUE!</v>
      </c>
      <c r="H137" s="20" t="e">
        <f t="shared" ca="1" si="89"/>
        <v>#VALUE!</v>
      </c>
      <c r="I137" s="20" t="e">
        <f t="shared" ca="1" si="89"/>
        <v>#VALUE!</v>
      </c>
      <c r="J137" s="20" t="e">
        <f t="shared" ca="1" si="89"/>
        <v>#VALUE!</v>
      </c>
      <c r="K137" s="20" t="e">
        <f t="shared" ca="1" si="89"/>
        <v>#VALUE!</v>
      </c>
      <c r="L137" s="20" t="e">
        <f t="shared" ca="1" si="89"/>
        <v>#VALUE!</v>
      </c>
      <c r="M137" s="20" t="e">
        <f t="shared" ca="1" si="89"/>
        <v>#VALUE!</v>
      </c>
      <c r="N137" s="20" t="e">
        <f t="shared" ca="1" si="89"/>
        <v>#VALUE!</v>
      </c>
      <c r="O137" s="20" t="e">
        <f t="shared" ca="1" si="89"/>
        <v>#VALUE!</v>
      </c>
      <c r="P137" s="20" t="e">
        <f t="shared" ca="1" si="89"/>
        <v>#VALUE!</v>
      </c>
      <c r="Q137" s="20" t="e">
        <f t="shared" ca="1" si="89"/>
        <v>#VALUE!</v>
      </c>
      <c r="R137" s="20" t="e">
        <f t="shared" ca="1" si="89"/>
        <v>#VALUE!</v>
      </c>
      <c r="S137" s="20" t="e">
        <f t="shared" ca="1" si="89"/>
        <v>#VALUE!</v>
      </c>
      <c r="T137" s="20" t="e">
        <f t="shared" ca="1" si="89"/>
        <v>#VALUE!</v>
      </c>
      <c r="U137" s="20" t="e">
        <f t="shared" ca="1" si="89"/>
        <v>#VALUE!</v>
      </c>
      <c r="V137" s="20" t="e">
        <f t="shared" ca="1" si="89"/>
        <v>#VALUE!</v>
      </c>
      <c r="W137" s="20" t="e">
        <f t="shared" ca="1" si="89"/>
        <v>#VALUE!</v>
      </c>
      <c r="X137" s="20" t="e">
        <f t="shared" ca="1" si="89"/>
        <v>#VALUE!</v>
      </c>
      <c r="Y137" s="20" t="e">
        <f t="shared" ca="1" si="89"/>
        <v>#VALUE!</v>
      </c>
      <c r="Z137" s="20" t="e">
        <f t="shared" ca="1" si="89"/>
        <v>#VALUE!</v>
      </c>
      <c r="AA137" s="20" t="e">
        <f t="shared" ca="1" si="89"/>
        <v>#VALUE!</v>
      </c>
      <c r="AB137" s="20" t="e">
        <f t="shared" ca="1" si="89"/>
        <v>#VALUE!</v>
      </c>
      <c r="AC137" s="20" t="e">
        <f t="shared" ca="1" si="89"/>
        <v>#VALUE!</v>
      </c>
      <c r="AD137" s="20" t="e">
        <f t="shared" ca="1" si="89"/>
        <v>#VALUE!</v>
      </c>
      <c r="AE137" s="20" t="e">
        <f t="shared" ca="1" si="89"/>
        <v>#VALUE!</v>
      </c>
      <c r="AF137" s="20" t="e">
        <f t="shared" ca="1" si="89"/>
        <v>#VALUE!</v>
      </c>
      <c r="AG137" s="20" t="e">
        <f t="shared" ca="1" si="89"/>
        <v>#VALUE!</v>
      </c>
    </row>
    <row r="144" spans="1:33" ht="13.2">
      <c r="A144" s="182"/>
      <c r="B144" s="183"/>
      <c r="C144" s="183"/>
      <c r="D144" s="184" t="s">
        <v>729</v>
      </c>
      <c r="E144" s="183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5"/>
    </row>
    <row r="145" spans="1:33" ht="13.2">
      <c r="A145" s="184" t="s">
        <v>27</v>
      </c>
      <c r="B145" s="184" t="s">
        <v>4</v>
      </c>
      <c r="C145" s="184" t="s">
        <v>34</v>
      </c>
      <c r="D145" s="182" t="s">
        <v>80</v>
      </c>
      <c r="E145" s="186" t="s">
        <v>81</v>
      </c>
      <c r="F145" s="186" t="s">
        <v>82</v>
      </c>
      <c r="G145" s="186" t="s">
        <v>83</v>
      </c>
      <c r="H145" s="186" t="s">
        <v>84</v>
      </c>
      <c r="I145" s="186" t="s">
        <v>85</v>
      </c>
      <c r="J145" s="186" t="s">
        <v>86</v>
      </c>
      <c r="K145" s="186" t="s">
        <v>87</v>
      </c>
      <c r="L145" s="186" t="s">
        <v>88</v>
      </c>
      <c r="M145" s="186" t="s">
        <v>89</v>
      </c>
      <c r="N145" s="186" t="s">
        <v>90</v>
      </c>
      <c r="O145" s="186" t="s">
        <v>91</v>
      </c>
      <c r="P145" s="186" t="s">
        <v>92</v>
      </c>
      <c r="Q145" s="186" t="s">
        <v>93</v>
      </c>
      <c r="R145" s="186" t="s">
        <v>94</v>
      </c>
      <c r="S145" s="186" t="s">
        <v>95</v>
      </c>
      <c r="T145" s="186" t="s">
        <v>96</v>
      </c>
      <c r="U145" s="186" t="s">
        <v>97</v>
      </c>
      <c r="V145" s="186" t="s">
        <v>98</v>
      </c>
      <c r="W145" s="186" t="s">
        <v>99</v>
      </c>
      <c r="X145" s="186" t="s">
        <v>100</v>
      </c>
      <c r="Y145" s="186" t="s">
        <v>101</v>
      </c>
      <c r="Z145" s="186" t="s">
        <v>102</v>
      </c>
      <c r="AA145" s="186" t="s">
        <v>103</v>
      </c>
      <c r="AB145" s="186" t="s">
        <v>104</v>
      </c>
      <c r="AC145" s="186" t="s">
        <v>105</v>
      </c>
      <c r="AD145" s="186" t="s">
        <v>106</v>
      </c>
      <c r="AE145" s="186" t="s">
        <v>107</v>
      </c>
      <c r="AF145" s="186" t="s">
        <v>108</v>
      </c>
      <c r="AG145" s="187" t="s">
        <v>109</v>
      </c>
    </row>
    <row r="146" spans="1:33" ht="13.2">
      <c r="A146" s="182" t="s">
        <v>5</v>
      </c>
      <c r="B146" s="182" t="s">
        <v>45</v>
      </c>
      <c r="C146" s="182" t="s">
        <v>44</v>
      </c>
      <c r="D146" s="209">
        <v>524183626</v>
      </c>
      <c r="E146" s="210">
        <v>529872043.87218755</v>
      </c>
      <c r="F146" s="210">
        <v>535813871.00614333</v>
      </c>
      <c r="G146" s="210">
        <v>538784757.18762255</v>
      </c>
      <c r="H146" s="210">
        <v>541917474.57839739</v>
      </c>
      <c r="I146" s="210">
        <v>543280127.56227911</v>
      </c>
      <c r="J146" s="210">
        <v>546331047.52422082</v>
      </c>
      <c r="K146" s="210">
        <v>549130134.97362638</v>
      </c>
      <c r="L146" s="210">
        <v>552114708.22910619</v>
      </c>
      <c r="M146" s="210">
        <v>553478976.21117997</v>
      </c>
      <c r="N146" s="210">
        <v>552467696.95329261</v>
      </c>
      <c r="O146" s="210">
        <v>552122439.77796626</v>
      </c>
      <c r="P146" s="210">
        <v>552625559.23484147</v>
      </c>
      <c r="Q146" s="210">
        <v>553808334.97437632</v>
      </c>
      <c r="R146" s="210">
        <v>555342384.08940709</v>
      </c>
      <c r="S146" s="210">
        <v>556919758.47990799</v>
      </c>
      <c r="T146" s="210">
        <v>558684989.36626685</v>
      </c>
      <c r="U146" s="210">
        <v>560619304.35194302</v>
      </c>
      <c r="V146" s="210">
        <v>562233423.39645016</v>
      </c>
      <c r="W146" s="210">
        <v>563407665.27191567</v>
      </c>
      <c r="X146" s="210">
        <v>565275145.50210655</v>
      </c>
      <c r="Y146" s="210">
        <v>567741897.96191025</v>
      </c>
      <c r="Z146" s="210">
        <v>570562217.11746788</v>
      </c>
      <c r="AA146" s="210">
        <v>573440170.98875153</v>
      </c>
      <c r="AB146" s="210">
        <v>576628617.09564412</v>
      </c>
      <c r="AC146" s="210">
        <v>579285808.26386034</v>
      </c>
      <c r="AD146" s="210">
        <v>582440226.60210466</v>
      </c>
      <c r="AE146" s="210">
        <v>585652633.12785053</v>
      </c>
      <c r="AF146" s="210">
        <v>589505460.24764431</v>
      </c>
      <c r="AG146" s="211">
        <v>593557731.58522952</v>
      </c>
    </row>
    <row r="147" spans="1:33" ht="13.2">
      <c r="A147" s="188"/>
      <c r="B147" s="188"/>
      <c r="C147" s="189" t="s">
        <v>14</v>
      </c>
      <c r="D147" s="212">
        <v>2153065.0279999999</v>
      </c>
      <c r="E147" s="213">
        <v>2234713.6964825992</v>
      </c>
      <c r="F147" s="213">
        <v>2214287.3390953252</v>
      </c>
      <c r="G147" s="213">
        <v>2232487.9200828462</v>
      </c>
      <c r="H147" s="213">
        <v>2255775.5729078865</v>
      </c>
      <c r="I147" s="213">
        <v>2270083.1058028643</v>
      </c>
      <c r="J147" s="213">
        <v>2292375.5424621906</v>
      </c>
      <c r="K147" s="213">
        <v>2305161.0874159653</v>
      </c>
      <c r="L147" s="213">
        <v>2309998.6526957303</v>
      </c>
      <c r="M147" s="213">
        <v>2316357.2529233797</v>
      </c>
      <c r="N147" s="213">
        <v>2312094.9728012597</v>
      </c>
      <c r="O147" s="213">
        <v>2310961.757985313</v>
      </c>
      <c r="P147" s="213">
        <v>2308165.7614582949</v>
      </c>
      <c r="Q147" s="213">
        <v>2307551.3241709745</v>
      </c>
      <c r="R147" s="213">
        <v>2309720.6599015044</v>
      </c>
      <c r="S147" s="213">
        <v>2311526.6301961909</v>
      </c>
      <c r="T147" s="213">
        <v>2310925.5403499366</v>
      </c>
      <c r="U147" s="213">
        <v>2309053.1088024667</v>
      </c>
      <c r="V147" s="213">
        <v>2306796.3768764818</v>
      </c>
      <c r="W147" s="213">
        <v>2304504.9529569433</v>
      </c>
      <c r="X147" s="213">
        <v>2302726.9489526362</v>
      </c>
      <c r="Y147" s="213">
        <v>2301311.6755215195</v>
      </c>
      <c r="Z147" s="213">
        <v>2299798.021989055</v>
      </c>
      <c r="AA147" s="213">
        <v>2299701.8166296007</v>
      </c>
      <c r="AB147" s="213">
        <v>2299120.7793301996</v>
      </c>
      <c r="AC147" s="213">
        <v>2297906.4437105167</v>
      </c>
      <c r="AD147" s="213">
        <v>2296046.9910245566</v>
      </c>
      <c r="AE147" s="213">
        <v>2293940.1839951156</v>
      </c>
      <c r="AF147" s="213">
        <v>2291189.1864584452</v>
      </c>
      <c r="AG147" s="214">
        <v>2287980.6844364153</v>
      </c>
    </row>
    <row r="148" spans="1:33" ht="13.2">
      <c r="A148" s="188"/>
      <c r="B148" s="182" t="s">
        <v>48</v>
      </c>
      <c r="C148" s="182" t="s">
        <v>44</v>
      </c>
      <c r="D148" s="209">
        <v>279076797</v>
      </c>
      <c r="E148" s="210">
        <v>287803688.91855371</v>
      </c>
      <c r="F148" s="210">
        <v>297290926.89577764</v>
      </c>
      <c r="G148" s="210">
        <v>299395511.04401505</v>
      </c>
      <c r="H148" s="210">
        <v>303747908.61885494</v>
      </c>
      <c r="I148" s="210">
        <v>308232583.80330324</v>
      </c>
      <c r="J148" s="210">
        <v>310808298.46298075</v>
      </c>
      <c r="K148" s="210">
        <v>313231439.02746439</v>
      </c>
      <c r="L148" s="210">
        <v>316773184.45557386</v>
      </c>
      <c r="M148" s="210">
        <v>319328503.33371246</v>
      </c>
      <c r="N148" s="210">
        <v>320347567.09621024</v>
      </c>
      <c r="O148" s="210">
        <v>321611835.62270868</v>
      </c>
      <c r="P148" s="210">
        <v>322561188.70728362</v>
      </c>
      <c r="Q148" s="210">
        <v>323334760.75732642</v>
      </c>
      <c r="R148" s="210">
        <v>324352353.3894133</v>
      </c>
      <c r="S148" s="210">
        <v>325372776.47875166</v>
      </c>
      <c r="T148" s="210">
        <v>327115075.05082494</v>
      </c>
      <c r="U148" s="210">
        <v>328555222.31747061</v>
      </c>
      <c r="V148" s="210">
        <v>329688165.5026443</v>
      </c>
      <c r="W148" s="210">
        <v>330480755.75990444</v>
      </c>
      <c r="X148" s="210">
        <v>332005276.91654146</v>
      </c>
      <c r="Y148" s="210">
        <v>334017775.00843334</v>
      </c>
      <c r="Z148" s="210">
        <v>335739698.98352993</v>
      </c>
      <c r="AA148" s="210">
        <v>336993026.98710746</v>
      </c>
      <c r="AB148" s="210">
        <v>338437291.25099713</v>
      </c>
      <c r="AC148" s="210">
        <v>340029953.394373</v>
      </c>
      <c r="AD148" s="210">
        <v>340807946.20826799</v>
      </c>
      <c r="AE148" s="210">
        <v>341115966.06577253</v>
      </c>
      <c r="AF148" s="210">
        <v>342147358.71106297</v>
      </c>
      <c r="AG148" s="211">
        <v>344429409.73717982</v>
      </c>
    </row>
    <row r="149" spans="1:33" ht="13.2">
      <c r="A149" s="188"/>
      <c r="B149" s="188"/>
      <c r="C149" s="189" t="s">
        <v>14</v>
      </c>
      <c r="D149" s="212">
        <v>530289.65299999993</v>
      </c>
      <c r="E149" s="213">
        <v>544570.75215586473</v>
      </c>
      <c r="F149" s="213">
        <v>566919.23776433547</v>
      </c>
      <c r="G149" s="213">
        <v>570426.52792941139</v>
      </c>
      <c r="H149" s="213">
        <v>575811.58031857212</v>
      </c>
      <c r="I149" s="213">
        <v>584333.04625583324</v>
      </c>
      <c r="J149" s="213">
        <v>585741.75546590821</v>
      </c>
      <c r="K149" s="213">
        <v>587505.96425548207</v>
      </c>
      <c r="L149" s="213">
        <v>591512.00789446768</v>
      </c>
      <c r="M149" s="213">
        <v>595877.84782619018</v>
      </c>
      <c r="N149" s="213">
        <v>595693.88538839889</v>
      </c>
      <c r="O149" s="213">
        <v>597616.98458506609</v>
      </c>
      <c r="P149" s="213">
        <v>597360.7701713189</v>
      </c>
      <c r="Q149" s="213">
        <v>597420.12930881965</v>
      </c>
      <c r="R149" s="213">
        <v>599455.23375573358</v>
      </c>
      <c r="S149" s="213">
        <v>600524.97073442035</v>
      </c>
      <c r="T149" s="213">
        <v>602445.71839699172</v>
      </c>
      <c r="U149" s="213">
        <v>605194.94394463825</v>
      </c>
      <c r="V149" s="213">
        <v>607024.14740468864</v>
      </c>
      <c r="W149" s="213">
        <v>609581.93892739329</v>
      </c>
      <c r="X149" s="213">
        <v>613642.48105540231</v>
      </c>
      <c r="Y149" s="213">
        <v>619157.47069442971</v>
      </c>
      <c r="Z149" s="213">
        <v>625512.76536939328</v>
      </c>
      <c r="AA149" s="213">
        <v>628672.5790861249</v>
      </c>
      <c r="AB149" s="213">
        <v>635516.26939269993</v>
      </c>
      <c r="AC149" s="213">
        <v>640058.15043909766</v>
      </c>
      <c r="AD149" s="213">
        <v>642397.67356779717</v>
      </c>
      <c r="AE149" s="213">
        <v>645971.70997024933</v>
      </c>
      <c r="AF149" s="213">
        <v>649764.85950273043</v>
      </c>
      <c r="AG149" s="214">
        <v>656639.30066030833</v>
      </c>
    </row>
    <row r="150" spans="1:33" ht="13.2">
      <c r="A150" s="188"/>
      <c r="B150" s="182" t="s">
        <v>43</v>
      </c>
      <c r="C150" s="182" t="s">
        <v>44</v>
      </c>
      <c r="D150" s="209">
        <v>826624792</v>
      </c>
      <c r="E150" s="210">
        <v>797914838.39712429</v>
      </c>
      <c r="F150" s="210">
        <v>833879165.18650019</v>
      </c>
      <c r="G150" s="210">
        <v>844664948.26169205</v>
      </c>
      <c r="H150" s="210">
        <v>854112669.95806766</v>
      </c>
      <c r="I150" s="210">
        <v>861698552.76731372</v>
      </c>
      <c r="J150" s="210">
        <v>868479681.3528266</v>
      </c>
      <c r="K150" s="210">
        <v>875327781.1214999</v>
      </c>
      <c r="L150" s="210">
        <v>882554996.75854635</v>
      </c>
      <c r="M150" s="210">
        <v>888073821.18960238</v>
      </c>
      <c r="N150" s="210">
        <v>888207015.93661582</v>
      </c>
      <c r="O150" s="210">
        <v>889164469.89329278</v>
      </c>
      <c r="P150" s="210">
        <v>891165542.41118944</v>
      </c>
      <c r="Q150" s="210">
        <v>894078546.66543174</v>
      </c>
      <c r="R150" s="210">
        <v>897671979.66167045</v>
      </c>
      <c r="S150" s="210">
        <v>901450898.77538311</v>
      </c>
      <c r="T150" s="210">
        <v>905890186.81654549</v>
      </c>
      <c r="U150" s="210">
        <v>910301769.28223753</v>
      </c>
      <c r="V150" s="210">
        <v>914592846.90487933</v>
      </c>
      <c r="W150" s="210">
        <v>918162366.04248297</v>
      </c>
      <c r="X150" s="210">
        <v>921409663.45203197</v>
      </c>
      <c r="Y150" s="210">
        <v>925403097.20923591</v>
      </c>
      <c r="Z150" s="210">
        <v>929929248.46389341</v>
      </c>
      <c r="AA150" s="210">
        <v>935105961.0188967</v>
      </c>
      <c r="AB150" s="210">
        <v>940585184.61033702</v>
      </c>
      <c r="AC150" s="210">
        <v>946353418.6391114</v>
      </c>
      <c r="AD150" s="210">
        <v>952178448.3416816</v>
      </c>
      <c r="AE150" s="210">
        <v>958621289.87945664</v>
      </c>
      <c r="AF150" s="210">
        <v>965703096.80173302</v>
      </c>
      <c r="AG150" s="211">
        <v>973394011.6688385</v>
      </c>
    </row>
    <row r="151" spans="1:33" ht="13.2">
      <c r="A151" s="188"/>
      <c r="B151" s="188"/>
      <c r="C151" s="189" t="s">
        <v>14</v>
      </c>
      <c r="D151" s="212">
        <v>3016633</v>
      </c>
      <c r="E151" s="213">
        <v>2923031.5110260779</v>
      </c>
      <c r="F151" s="213">
        <v>3201095.1382411812</v>
      </c>
      <c r="G151" s="213">
        <v>3232944.0432987493</v>
      </c>
      <c r="H151" s="213">
        <v>3257480.78154193</v>
      </c>
      <c r="I151" s="213">
        <v>3265551.2153978054</v>
      </c>
      <c r="J151" s="213">
        <v>3266287.8851030716</v>
      </c>
      <c r="K151" s="213">
        <v>3262356.6469901418</v>
      </c>
      <c r="L151" s="213">
        <v>3254398.9878376569</v>
      </c>
      <c r="M151" s="213">
        <v>3249272.3851793972</v>
      </c>
      <c r="N151" s="213">
        <v>3225304.2957589147</v>
      </c>
      <c r="O151" s="213">
        <v>3204346.9803809868</v>
      </c>
      <c r="P151" s="213">
        <v>3182974.9944984666</v>
      </c>
      <c r="Q151" s="213">
        <v>3163932.5340976487</v>
      </c>
      <c r="R151" s="213">
        <v>3147935.2784741838</v>
      </c>
      <c r="S151" s="213">
        <v>3132711.451005185</v>
      </c>
      <c r="T151" s="213">
        <v>3116721.5460618068</v>
      </c>
      <c r="U151" s="213">
        <v>3100711.8705028603</v>
      </c>
      <c r="V151" s="213">
        <v>3085277.9653179212</v>
      </c>
      <c r="W151" s="213">
        <v>3070795.8355258494</v>
      </c>
      <c r="X151" s="213">
        <v>3056759.6398477978</v>
      </c>
      <c r="Y151" s="213">
        <v>3043019.4737965954</v>
      </c>
      <c r="Z151" s="213">
        <v>3029357.377657494</v>
      </c>
      <c r="AA151" s="213">
        <v>3017278.4701307062</v>
      </c>
      <c r="AB151" s="213">
        <v>3004545.3068129942</v>
      </c>
      <c r="AC151" s="213">
        <v>2991431.8860912174</v>
      </c>
      <c r="AD151" s="213">
        <v>2977881.4228177015</v>
      </c>
      <c r="AE151" s="213">
        <v>2964110.5450847917</v>
      </c>
      <c r="AF151" s="213">
        <v>2949857.3670937126</v>
      </c>
      <c r="AG151" s="214">
        <v>2935292.8995948397</v>
      </c>
    </row>
    <row r="152" spans="1:33" ht="13.2">
      <c r="A152" s="188"/>
      <c r="B152" s="182" t="s">
        <v>50</v>
      </c>
      <c r="C152" s="182" t="s">
        <v>51</v>
      </c>
      <c r="D152" s="209">
        <v>1755382.1497064228</v>
      </c>
      <c r="E152" s="210">
        <v>1778045.8383616696</v>
      </c>
      <c r="F152" s="210">
        <v>1807425.989268919</v>
      </c>
      <c r="G152" s="210">
        <v>1801514.7996773464</v>
      </c>
      <c r="H152" s="210">
        <v>1803317.3082281926</v>
      </c>
      <c r="I152" s="210">
        <v>1800594.0884060734</v>
      </c>
      <c r="J152" s="210">
        <v>1791020.0694216769</v>
      </c>
      <c r="K152" s="210">
        <v>1780902.3518896592</v>
      </c>
      <c r="L152" s="210">
        <v>1769510.3770506864</v>
      </c>
      <c r="M152" s="210">
        <v>1757971.5192038708</v>
      </c>
      <c r="N152" s="210">
        <v>1732138.6481123315</v>
      </c>
      <c r="O152" s="210">
        <v>1710142.1777120002</v>
      </c>
      <c r="P152" s="210">
        <v>1690452.3997273592</v>
      </c>
      <c r="Q152" s="210">
        <v>1669776.0072340772</v>
      </c>
      <c r="R152" s="210">
        <v>1651522.2736149842</v>
      </c>
      <c r="S152" s="210">
        <v>1633869.5998724485</v>
      </c>
      <c r="T152" s="210">
        <v>1620442.6421245821</v>
      </c>
      <c r="U152" s="210">
        <v>1608639.8368458613</v>
      </c>
      <c r="V152" s="210">
        <v>1595966.1233692556</v>
      </c>
      <c r="W152" s="210">
        <v>1585350.2362385702</v>
      </c>
      <c r="X152" s="210">
        <v>1575501.2948096357</v>
      </c>
      <c r="Y152" s="210">
        <v>1569119.4295863104</v>
      </c>
      <c r="Z152" s="210">
        <v>1563249.7320910976</v>
      </c>
      <c r="AA152" s="210">
        <v>1556249.8968160485</v>
      </c>
      <c r="AB152" s="210">
        <v>1548968.3885717404</v>
      </c>
      <c r="AC152" s="210">
        <v>1543251.3083897152</v>
      </c>
      <c r="AD152" s="210">
        <v>1535039.3027213758</v>
      </c>
      <c r="AE152" s="210">
        <v>1524535.1286623941</v>
      </c>
      <c r="AF152" s="210">
        <v>1517120.8348348506</v>
      </c>
      <c r="AG152" s="211">
        <v>1512930.3830045171</v>
      </c>
    </row>
    <row r="153" spans="1:33" ht="13.2">
      <c r="A153" s="188"/>
      <c r="B153" s="188"/>
      <c r="C153" s="189" t="s">
        <v>44</v>
      </c>
      <c r="D153" s="212"/>
      <c r="E153" s="213">
        <v>1478913.3527223987</v>
      </c>
      <c r="F153" s="213">
        <v>1950293.251015987</v>
      </c>
      <c r="G153" s="213">
        <v>2474832.6585146636</v>
      </c>
      <c r="H153" s="213">
        <v>3038284.8855492407</v>
      </c>
      <c r="I153" s="213">
        <v>3639857.5985898655</v>
      </c>
      <c r="J153" s="213">
        <v>4256918.8424600288</v>
      </c>
      <c r="K153" s="213">
        <v>4875826.0791066261</v>
      </c>
      <c r="L153" s="213">
        <v>5505273.0941710826</v>
      </c>
      <c r="M153" s="213">
        <v>6148985.9361379994</v>
      </c>
      <c r="N153" s="213">
        <v>6759720.4339895817</v>
      </c>
      <c r="O153" s="213">
        <v>7359072.403551314</v>
      </c>
      <c r="P153" s="213">
        <v>7960100.6327072578</v>
      </c>
      <c r="Q153" s="213">
        <v>8562509.0689278264</v>
      </c>
      <c r="R153" s="213">
        <v>9157833.746577844</v>
      </c>
      <c r="S153" s="213">
        <v>9752447.1292906944</v>
      </c>
      <c r="T153" s="213">
        <v>10349079.30216535</v>
      </c>
      <c r="U153" s="213">
        <v>10945621.889921576</v>
      </c>
      <c r="V153" s="213">
        <v>11541178.73948163</v>
      </c>
      <c r="W153" s="213">
        <v>12136665.336122198</v>
      </c>
      <c r="X153" s="213">
        <v>12722445.42904794</v>
      </c>
      <c r="Y153" s="213">
        <v>13302159.842747871</v>
      </c>
      <c r="Z153" s="213">
        <v>13885461.190155666</v>
      </c>
      <c r="AA153" s="213">
        <v>14476563.238387082</v>
      </c>
      <c r="AB153" s="213">
        <v>15053509.720479606</v>
      </c>
      <c r="AC153" s="213">
        <v>15631659.542259688</v>
      </c>
      <c r="AD153" s="213">
        <v>16201106.888553731</v>
      </c>
      <c r="AE153" s="213">
        <v>16763074.759923169</v>
      </c>
      <c r="AF153" s="213">
        <v>17329883.151253134</v>
      </c>
      <c r="AG153" s="214">
        <v>17903329.832268056</v>
      </c>
    </row>
    <row r="154" spans="1:33" ht="13.2">
      <c r="A154" s="188"/>
      <c r="B154" s="188"/>
      <c r="C154" s="189" t="s">
        <v>46</v>
      </c>
      <c r="D154" s="212">
        <v>7438698.4181075664</v>
      </c>
      <c r="E154" s="213">
        <v>7694469.3051750381</v>
      </c>
      <c r="F154" s="213">
        <v>7877034.5746994438</v>
      </c>
      <c r="G154" s="213">
        <v>7891837.343279968</v>
      </c>
      <c r="H154" s="213">
        <v>7896323.6220637485</v>
      </c>
      <c r="I154" s="213">
        <v>7881724.9709048932</v>
      </c>
      <c r="J154" s="213">
        <v>7853226.151047634</v>
      </c>
      <c r="K154" s="213">
        <v>7819165.8193145255</v>
      </c>
      <c r="L154" s="213">
        <v>7792112.0954452101</v>
      </c>
      <c r="M154" s="213">
        <v>7773699.1010975316</v>
      </c>
      <c r="N154" s="213">
        <v>7711651.8051904328</v>
      </c>
      <c r="O154" s="213">
        <v>7646169.6702747196</v>
      </c>
      <c r="P154" s="213">
        <v>7594980.3768082559</v>
      </c>
      <c r="Q154" s="213">
        <v>7546989.5797173483</v>
      </c>
      <c r="R154" s="213">
        <v>7498183.060617595</v>
      </c>
      <c r="S154" s="213">
        <v>7455051.8370197145</v>
      </c>
      <c r="T154" s="213">
        <v>7421275.8743892182</v>
      </c>
      <c r="U154" s="213">
        <v>7391392.8628585758</v>
      </c>
      <c r="V154" s="213">
        <v>7368889.5081969891</v>
      </c>
      <c r="W154" s="213">
        <v>7351215.6229080828</v>
      </c>
      <c r="X154" s="213">
        <v>7336605.6942503657</v>
      </c>
      <c r="Y154" s="213">
        <v>7326073.6269466793</v>
      </c>
      <c r="Z154" s="213">
        <v>7317862.4693902321</v>
      </c>
      <c r="AA154" s="213">
        <v>7314246.3711124547</v>
      </c>
      <c r="AB154" s="213">
        <v>7315719.6646511238</v>
      </c>
      <c r="AC154" s="213">
        <v>7324310.3520755479</v>
      </c>
      <c r="AD154" s="213">
        <v>7332391.4171975218</v>
      </c>
      <c r="AE154" s="213">
        <v>7341047.6113196565</v>
      </c>
      <c r="AF154" s="213">
        <v>7356097.5733755259</v>
      </c>
      <c r="AG154" s="214">
        <v>7378556.0921082422</v>
      </c>
    </row>
    <row r="155" spans="1:33" ht="13.2">
      <c r="A155" s="182" t="s">
        <v>9</v>
      </c>
      <c r="B155" s="182" t="s">
        <v>45</v>
      </c>
      <c r="C155" s="182" t="s">
        <v>44</v>
      </c>
      <c r="D155" s="209">
        <v>297267021</v>
      </c>
      <c r="E155" s="210">
        <v>299991524.19839519</v>
      </c>
      <c r="F155" s="210">
        <v>302853579.27353168</v>
      </c>
      <c r="G155" s="210">
        <v>304027022.92412406</v>
      </c>
      <c r="H155" s="210">
        <v>305291032.54701704</v>
      </c>
      <c r="I155" s="210">
        <v>305555027.40952098</v>
      </c>
      <c r="J155" s="210">
        <v>306772205.92021549</v>
      </c>
      <c r="K155" s="210">
        <v>307846720.18586159</v>
      </c>
      <c r="L155" s="210">
        <v>309024831.41273564</v>
      </c>
      <c r="M155" s="210">
        <v>309293702.26208723</v>
      </c>
      <c r="N155" s="210">
        <v>308234984.12897992</v>
      </c>
      <c r="O155" s="210">
        <v>307554672.28969181</v>
      </c>
      <c r="P155" s="210">
        <v>307352648.15253603</v>
      </c>
      <c r="Q155" s="210">
        <v>307532630.01957184</v>
      </c>
      <c r="R155" s="210">
        <v>307910170.02386832</v>
      </c>
      <c r="S155" s="210">
        <v>308313330.83266181</v>
      </c>
      <c r="T155" s="210">
        <v>308822116.53609592</v>
      </c>
      <c r="U155" s="210">
        <v>309425640.93722063</v>
      </c>
      <c r="V155" s="210">
        <v>309853009.47059381</v>
      </c>
      <c r="W155" s="210">
        <v>310038949.97841793</v>
      </c>
      <c r="X155" s="210">
        <v>310608997.05396456</v>
      </c>
      <c r="Y155" s="210">
        <v>311509723.99855196</v>
      </c>
      <c r="Z155" s="210">
        <v>312604661.73490918</v>
      </c>
      <c r="AA155" s="210">
        <v>313730593.43269593</v>
      </c>
      <c r="AB155" s="210">
        <v>315025928.72410429</v>
      </c>
      <c r="AC155" s="210">
        <v>316029424.36306965</v>
      </c>
      <c r="AD155" s="210">
        <v>317304217.14585358</v>
      </c>
      <c r="AE155" s="210">
        <v>318609536.28450269</v>
      </c>
      <c r="AF155" s="210">
        <v>320262564.1343298</v>
      </c>
      <c r="AG155" s="211">
        <v>322021961.44262731</v>
      </c>
    </row>
    <row r="156" spans="1:33" ht="13.2">
      <c r="A156" s="188"/>
      <c r="B156" s="188"/>
      <c r="C156" s="189" t="s">
        <v>14</v>
      </c>
      <c r="D156" s="212">
        <v>1213025.5649999999</v>
      </c>
      <c r="E156" s="213">
        <v>1257035.8801798096</v>
      </c>
      <c r="F156" s="213">
        <v>1243399.3371146794</v>
      </c>
      <c r="G156" s="213">
        <v>1251548.7050696395</v>
      </c>
      <c r="H156" s="213">
        <v>1262539.9226603934</v>
      </c>
      <c r="I156" s="213">
        <v>1268472.828770414</v>
      </c>
      <c r="J156" s="213">
        <v>1278867.6573850319</v>
      </c>
      <c r="K156" s="213">
        <v>1283928.6217817564</v>
      </c>
      <c r="L156" s="213">
        <v>1284551.3699822107</v>
      </c>
      <c r="M156" s="213">
        <v>1286031.3918148079</v>
      </c>
      <c r="N156" s="213">
        <v>1281612.6058868384</v>
      </c>
      <c r="O156" s="213">
        <v>1278956.9816626117</v>
      </c>
      <c r="P156" s="213">
        <v>1275399.7776365937</v>
      </c>
      <c r="Q156" s="213">
        <v>1273072.6224871841</v>
      </c>
      <c r="R156" s="213">
        <v>1272302.3050511486</v>
      </c>
      <c r="S156" s="213">
        <v>1271345.1788981182</v>
      </c>
      <c r="T156" s="213">
        <v>1269076.2379495809</v>
      </c>
      <c r="U156" s="213">
        <v>1266126.012941594</v>
      </c>
      <c r="V156" s="213">
        <v>1262984.5785624888</v>
      </c>
      <c r="W156" s="213">
        <v>1259844.330272078</v>
      </c>
      <c r="X156" s="213">
        <v>1257005.1816608503</v>
      </c>
      <c r="Y156" s="213">
        <v>1254383.2422133342</v>
      </c>
      <c r="Z156" s="213">
        <v>1251725.6852670547</v>
      </c>
      <c r="AA156" s="213">
        <v>1249858.7411925213</v>
      </c>
      <c r="AB156" s="213">
        <v>1247743.4581370454</v>
      </c>
      <c r="AC156" s="213">
        <v>1245300.0931755991</v>
      </c>
      <c r="AD156" s="213">
        <v>1242523.5096439298</v>
      </c>
      <c r="AE156" s="213">
        <v>1239630.5473956049</v>
      </c>
      <c r="AF156" s="213">
        <v>1236406.8065571839</v>
      </c>
      <c r="AG156" s="214">
        <v>1232954.4177602718</v>
      </c>
    </row>
    <row r="157" spans="1:33" ht="13.2">
      <c r="A157" s="188"/>
      <c r="B157" s="182" t="s">
        <v>48</v>
      </c>
      <c r="C157" s="182" t="s">
        <v>44</v>
      </c>
      <c r="D157" s="209">
        <v>1080113676</v>
      </c>
      <c r="E157" s="210">
        <v>1112105141.3716249</v>
      </c>
      <c r="F157" s="210">
        <v>1146944978.0134408</v>
      </c>
      <c r="G157" s="210">
        <v>1153151997.282891</v>
      </c>
      <c r="H157" s="210">
        <v>1168021851.1824667</v>
      </c>
      <c r="I157" s="210">
        <v>1183363764.4893157</v>
      </c>
      <c r="J157" s="210">
        <v>1191326215.1422594</v>
      </c>
      <c r="K157" s="210">
        <v>1198688404.846725</v>
      </c>
      <c r="L157" s="210">
        <v>1210325826.5569217</v>
      </c>
      <c r="M157" s="210">
        <v>1218162409.049125</v>
      </c>
      <c r="N157" s="210">
        <v>1220115584.5612609</v>
      </c>
      <c r="O157" s="210">
        <v>1223009206.5946102</v>
      </c>
      <c r="P157" s="210">
        <v>1224705452.2577908</v>
      </c>
      <c r="Q157" s="210">
        <v>1225739009.5911145</v>
      </c>
      <c r="R157" s="210">
        <v>1227706817.405894</v>
      </c>
      <c r="S157" s="210">
        <v>1229690157.784483</v>
      </c>
      <c r="T157" s="210">
        <v>1234410566.822711</v>
      </c>
      <c r="U157" s="210">
        <v>1237985429.6812501</v>
      </c>
      <c r="V157" s="210">
        <v>1240400873.9350898</v>
      </c>
      <c r="W157" s="210">
        <v>1241537196.1792717</v>
      </c>
      <c r="X157" s="210">
        <v>1245434353.7373083</v>
      </c>
      <c r="Y157" s="210">
        <v>1251163609.3472555</v>
      </c>
      <c r="Z157" s="210">
        <v>1255796407.6477375</v>
      </c>
      <c r="AA157" s="210">
        <v>1258670728.2685285</v>
      </c>
      <c r="AB157" s="210">
        <v>1262261101.4159241</v>
      </c>
      <c r="AC157" s="210">
        <v>1266405556.2603991</v>
      </c>
      <c r="AD157" s="210">
        <v>1267509801.8596165</v>
      </c>
      <c r="AE157" s="210">
        <v>1266870526.2744412</v>
      </c>
      <c r="AF157" s="210">
        <v>1268933211.6434364</v>
      </c>
      <c r="AG157" s="211">
        <v>1275644722.2301059</v>
      </c>
    </row>
    <row r="158" spans="1:33" ht="13.2">
      <c r="A158" s="188"/>
      <c r="B158" s="188"/>
      <c r="C158" s="189" t="s">
        <v>14</v>
      </c>
      <c r="D158" s="212">
        <v>5801514.1289999997</v>
      </c>
      <c r="E158" s="213">
        <v>5948126.4321108507</v>
      </c>
      <c r="F158" s="213">
        <v>6182577.4268402662</v>
      </c>
      <c r="G158" s="213">
        <v>6210508.1871079942</v>
      </c>
      <c r="H158" s="213">
        <v>6258885.4516207688</v>
      </c>
      <c r="I158" s="213">
        <v>6341312.4666263051</v>
      </c>
      <c r="J158" s="213">
        <v>6346216.1898993906</v>
      </c>
      <c r="K158" s="213">
        <v>6355022.8383212071</v>
      </c>
      <c r="L158" s="213">
        <v>6388150.3894919036</v>
      </c>
      <c r="M158" s="213">
        <v>6425123.5297353957</v>
      </c>
      <c r="N158" s="213">
        <v>6412901.7058872292</v>
      </c>
      <c r="O158" s="213">
        <v>6423497.3779967288</v>
      </c>
      <c r="P158" s="213">
        <v>6410657.1382670067</v>
      </c>
      <c r="Q158" s="213">
        <v>6401307.1467538169</v>
      </c>
      <c r="R158" s="213">
        <v>6413246.3167669745</v>
      </c>
      <c r="S158" s="213">
        <v>6414861.6585954893</v>
      </c>
      <c r="T158" s="213">
        <v>6425632.7375536952</v>
      </c>
      <c r="U158" s="213">
        <v>6445276.6791202063</v>
      </c>
      <c r="V158" s="213">
        <v>6455103.8827662114</v>
      </c>
      <c r="W158" s="213">
        <v>6472715.9135347819</v>
      </c>
      <c r="X158" s="213">
        <v>6506310.3564469973</v>
      </c>
      <c r="Y158" s="213">
        <v>6555303.9443359189</v>
      </c>
      <c r="Z158" s="213">
        <v>6613118.3687053947</v>
      </c>
      <c r="AA158" s="213">
        <v>6636986.9436297966</v>
      </c>
      <c r="AB158" s="213">
        <v>6699787.5089683272</v>
      </c>
      <c r="AC158" s="213">
        <v>6738161.7127440386</v>
      </c>
      <c r="AD158" s="213">
        <v>6753262.2915914422</v>
      </c>
      <c r="AE158" s="213">
        <v>6781369.4210280478</v>
      </c>
      <c r="AF158" s="213">
        <v>6811753.9067664333</v>
      </c>
      <c r="AG158" s="214">
        <v>6874453.5971833011</v>
      </c>
    </row>
    <row r="159" spans="1:33" ht="13.2">
      <c r="A159" s="188"/>
      <c r="B159" s="182" t="s">
        <v>43</v>
      </c>
      <c r="C159" s="182" t="s">
        <v>44</v>
      </c>
      <c r="D159" s="209">
        <v>534926238</v>
      </c>
      <c r="E159" s="210">
        <v>515403537.89077568</v>
      </c>
      <c r="F159" s="210">
        <v>537801397.17983913</v>
      </c>
      <c r="G159" s="210">
        <v>543866117.74361718</v>
      </c>
      <c r="H159" s="210">
        <v>549053112.85369158</v>
      </c>
      <c r="I159" s="210">
        <v>553029550.27349591</v>
      </c>
      <c r="J159" s="210">
        <v>556480980.10501873</v>
      </c>
      <c r="K159" s="210">
        <v>559969490.12310755</v>
      </c>
      <c r="L159" s="210">
        <v>563694962.8679539</v>
      </c>
      <c r="M159" s="210">
        <v>566320869.11611187</v>
      </c>
      <c r="N159" s="210">
        <v>565503806.61680794</v>
      </c>
      <c r="O159" s="210">
        <v>565220189.97465253</v>
      </c>
      <c r="P159" s="210">
        <v>565607078.93123353</v>
      </c>
      <c r="Q159" s="210">
        <v>566577558.44187546</v>
      </c>
      <c r="R159" s="210">
        <v>567981946.08326685</v>
      </c>
      <c r="S159" s="210">
        <v>569504576.39143682</v>
      </c>
      <c r="T159" s="210">
        <v>571445373.24526691</v>
      </c>
      <c r="U159" s="210">
        <v>573367733.16992438</v>
      </c>
      <c r="V159" s="210">
        <v>575213208.32252455</v>
      </c>
      <c r="W159" s="210">
        <v>576603566.73893797</v>
      </c>
      <c r="X159" s="210">
        <v>577791992.02710998</v>
      </c>
      <c r="Y159" s="210">
        <v>579450295.37732494</v>
      </c>
      <c r="Z159" s="210">
        <v>581442575.58389747</v>
      </c>
      <c r="AA159" s="210">
        <v>583841169.98034918</v>
      </c>
      <c r="AB159" s="210">
        <v>586426714.03832376</v>
      </c>
      <c r="AC159" s="210">
        <v>589189996.90320635</v>
      </c>
      <c r="AD159" s="210">
        <v>591985506.59573591</v>
      </c>
      <c r="AE159" s="210">
        <v>595162418.52892029</v>
      </c>
      <c r="AF159" s="210">
        <v>598732315.72189403</v>
      </c>
      <c r="AG159" s="211">
        <v>602675065.71675348</v>
      </c>
    </row>
    <row r="160" spans="1:33" ht="13.2">
      <c r="A160" s="188"/>
      <c r="B160" s="188"/>
      <c r="C160" s="189" t="s">
        <v>14</v>
      </c>
      <c r="D160" s="212">
        <v>1824194.996</v>
      </c>
      <c r="E160" s="213">
        <v>1764385.7211992519</v>
      </c>
      <c r="F160" s="213">
        <v>1929527.3942045288</v>
      </c>
      <c r="G160" s="213">
        <v>1945516.9535409266</v>
      </c>
      <c r="H160" s="213">
        <v>1957064.9534811834</v>
      </c>
      <c r="I160" s="213">
        <v>1958684.7683765115</v>
      </c>
      <c r="J160" s="213">
        <v>1955912.251295151</v>
      </c>
      <c r="K160" s="213">
        <v>1950367.8869636781</v>
      </c>
      <c r="L160" s="213">
        <v>1942449.1581482296</v>
      </c>
      <c r="M160" s="213">
        <v>1936266.9212803787</v>
      </c>
      <c r="N160" s="213">
        <v>1918876.969899876</v>
      </c>
      <c r="O160" s="213">
        <v>1903354.6948283254</v>
      </c>
      <c r="P160" s="213">
        <v>1887652.5851085116</v>
      </c>
      <c r="Q160" s="213">
        <v>1873400.9014087743</v>
      </c>
      <c r="R160" s="213">
        <v>1861016.6112370635</v>
      </c>
      <c r="S160" s="213">
        <v>1849145.3061435716</v>
      </c>
      <c r="T160" s="213">
        <v>1836874.0173580316</v>
      </c>
      <c r="U160" s="213">
        <v>1824644.6580960881</v>
      </c>
      <c r="V160" s="213">
        <v>1812807.5611832624</v>
      </c>
      <c r="W160" s="213">
        <v>1801581.748150029</v>
      </c>
      <c r="X160" s="213">
        <v>1790666.8126117145</v>
      </c>
      <c r="Y160" s="213">
        <v>1779973.0034909642</v>
      </c>
      <c r="Z160" s="213">
        <v>1769371.2585269306</v>
      </c>
      <c r="AA160" s="213">
        <v>1759741.1596065473</v>
      </c>
      <c r="AB160" s="213">
        <v>1749771.2528387278</v>
      </c>
      <c r="AC160" s="213">
        <v>1739622.4676902099</v>
      </c>
      <c r="AD160" s="213">
        <v>1729262.1551849195</v>
      </c>
      <c r="AE160" s="213">
        <v>1718816.8451310289</v>
      </c>
      <c r="AF160" s="213">
        <v>1708134.4719498006</v>
      </c>
      <c r="AG160" s="214">
        <v>1697314.8526375059</v>
      </c>
    </row>
    <row r="161" spans="1:33" ht="13.2">
      <c r="A161" s="188"/>
      <c r="B161" s="182" t="s">
        <v>50</v>
      </c>
      <c r="C161" s="182" t="s">
        <v>51</v>
      </c>
      <c r="D161" s="209">
        <v>1196243.1759854497</v>
      </c>
      <c r="E161" s="210">
        <v>1209674.2325509079</v>
      </c>
      <c r="F161" s="210">
        <v>1227649.4842540738</v>
      </c>
      <c r="G161" s="210">
        <v>1221566.1069260947</v>
      </c>
      <c r="H161" s="210">
        <v>1220754.5868075381</v>
      </c>
      <c r="I161" s="210">
        <v>1216889.0134105159</v>
      </c>
      <c r="J161" s="210">
        <v>1208410.5458048042</v>
      </c>
      <c r="K161" s="210">
        <v>1199604.2917416138</v>
      </c>
      <c r="L161" s="210">
        <v>1189978.6353263322</v>
      </c>
      <c r="M161" s="210">
        <v>1180296.6266585949</v>
      </c>
      <c r="N161" s="210">
        <v>1161044.7042286182</v>
      </c>
      <c r="O161" s="210">
        <v>1144441.41669114</v>
      </c>
      <c r="P161" s="210">
        <v>1129447.9151691077</v>
      </c>
      <c r="Q161" s="210">
        <v>1113852.0854539748</v>
      </c>
      <c r="R161" s="210">
        <v>1099934.0631489207</v>
      </c>
      <c r="S161" s="210">
        <v>1086470.2989628688</v>
      </c>
      <c r="T161" s="210">
        <v>1075872.1559678272</v>
      </c>
      <c r="U161" s="210">
        <v>1066395.9398297735</v>
      </c>
      <c r="V161" s="210">
        <v>1056379.6096306005</v>
      </c>
      <c r="W161" s="210">
        <v>1047766.7625185605</v>
      </c>
      <c r="X161" s="210">
        <v>1039696.2711383088</v>
      </c>
      <c r="Y161" s="210">
        <v>1033949.8746222791</v>
      </c>
      <c r="Z161" s="210">
        <v>1028566.9855946315</v>
      </c>
      <c r="AA161" s="210">
        <v>1022463.6332322228</v>
      </c>
      <c r="AB161" s="210">
        <v>1016201.0309733254</v>
      </c>
      <c r="AC161" s="210">
        <v>1010992.5241843878</v>
      </c>
      <c r="AD161" s="210">
        <v>1004170.2488920684</v>
      </c>
      <c r="AE161" s="210">
        <v>995873.79234998126</v>
      </c>
      <c r="AF161" s="210">
        <v>989629.89950564306</v>
      </c>
      <c r="AG161" s="211">
        <v>985517.08538450918</v>
      </c>
    </row>
    <row r="162" spans="1:33" ht="13.2">
      <c r="A162" s="188"/>
      <c r="B162" s="188"/>
      <c r="C162" s="189" t="s">
        <v>44</v>
      </c>
      <c r="D162" s="212"/>
      <c r="E162" s="213">
        <v>953656.3415918682</v>
      </c>
      <c r="F162" s="213">
        <v>1255494.4177967529</v>
      </c>
      <c r="G162" s="213">
        <v>1590493.8818475436</v>
      </c>
      <c r="H162" s="213">
        <v>1949357.4759271068</v>
      </c>
      <c r="I162" s="213">
        <v>2331469.2331345407</v>
      </c>
      <c r="J162" s="213">
        <v>2722252.3062952347</v>
      </c>
      <c r="K162" s="213">
        <v>3112965.1873547048</v>
      </c>
      <c r="L162" s="213">
        <v>3509160.7604112611</v>
      </c>
      <c r="M162" s="213">
        <v>3913194.7357397629</v>
      </c>
      <c r="N162" s="213">
        <v>4295022.3250046503</v>
      </c>
      <c r="O162" s="213">
        <v>4668459.5911319507</v>
      </c>
      <c r="P162" s="213">
        <v>5041827.4035355039</v>
      </c>
      <c r="Q162" s="213">
        <v>5414948.6541150026</v>
      </c>
      <c r="R162" s="213">
        <v>5782489.7836996885</v>
      </c>
      <c r="S162" s="213">
        <v>6148503.5533389309</v>
      </c>
      <c r="T162" s="213">
        <v>6514724.7794057308</v>
      </c>
      <c r="U162" s="213">
        <v>6879836.4090985786</v>
      </c>
      <c r="V162" s="213">
        <v>7243289.9949972704</v>
      </c>
      <c r="W162" s="213">
        <v>7605675.4964529676</v>
      </c>
      <c r="X162" s="213">
        <v>7960976.5282948157</v>
      </c>
      <c r="Y162" s="213">
        <v>8311507.72098199</v>
      </c>
      <c r="Z162" s="213">
        <v>8663320.5940205175</v>
      </c>
      <c r="AA162" s="213">
        <v>9019042.8466779906</v>
      </c>
      <c r="AB162" s="213">
        <v>9365006.2860212028</v>
      </c>
      <c r="AC162" s="213">
        <v>9710802.0266555026</v>
      </c>
      <c r="AD162" s="213">
        <v>10050293.384850927</v>
      </c>
      <c r="AE162" s="213">
        <v>10384272.133079724</v>
      </c>
      <c r="AF162" s="213">
        <v>10720389.919523127</v>
      </c>
      <c r="AG162" s="214">
        <v>11059755.484797271</v>
      </c>
    </row>
    <row r="163" spans="1:33" ht="13.2">
      <c r="A163" s="188"/>
      <c r="B163" s="188"/>
      <c r="C163" s="189" t="s">
        <v>46</v>
      </c>
      <c r="D163" s="212">
        <v>5069262.1115426831</v>
      </c>
      <c r="E163" s="213">
        <v>5235215.3881928865</v>
      </c>
      <c r="F163" s="213">
        <v>5350781.426763841</v>
      </c>
      <c r="G163" s="213">
        <v>5351868.0419304408</v>
      </c>
      <c r="H163" s="213">
        <v>5345996.35458396</v>
      </c>
      <c r="I163" s="213">
        <v>5327254.4758709213</v>
      </c>
      <c r="J163" s="213">
        <v>5299216.0539881391</v>
      </c>
      <c r="K163" s="213">
        <v>5267562.2058835654</v>
      </c>
      <c r="L163" s="213">
        <v>5240790.0363015691</v>
      </c>
      <c r="M163" s="213">
        <v>5219975.1264154902</v>
      </c>
      <c r="N163" s="213">
        <v>5169929.2116419235</v>
      </c>
      <c r="O163" s="213">
        <v>5117785.5806861706</v>
      </c>
      <c r="P163" s="213">
        <v>5075436.8292809818</v>
      </c>
      <c r="Q163" s="213">
        <v>5035408.7466748338</v>
      </c>
      <c r="R163" s="213">
        <v>4995006.3262084434</v>
      </c>
      <c r="S163" s="213">
        <v>4958560.589969079</v>
      </c>
      <c r="T163" s="213">
        <v>4928502.9827976935</v>
      </c>
      <c r="U163" s="213">
        <v>4901169.575385727</v>
      </c>
      <c r="V163" s="213">
        <v>4878862.2029303536</v>
      </c>
      <c r="W163" s="213">
        <v>4859865.9769567093</v>
      </c>
      <c r="X163" s="213">
        <v>4842996.146648488</v>
      </c>
      <c r="Y163" s="213">
        <v>4828912.6557898624</v>
      </c>
      <c r="Z163" s="213">
        <v>4816442.6155501911</v>
      </c>
      <c r="AA163" s="213">
        <v>4807077.2039584331</v>
      </c>
      <c r="AB163" s="213">
        <v>4801127.587916255</v>
      </c>
      <c r="AC163" s="213">
        <v>4799911.2607957106</v>
      </c>
      <c r="AD163" s="213">
        <v>4798402.0703661721</v>
      </c>
      <c r="AE163" s="213">
        <v>4797311.7927898681</v>
      </c>
      <c r="AF163" s="213">
        <v>4800446.0617361199</v>
      </c>
      <c r="AG163" s="214">
        <v>4808449.978134593</v>
      </c>
    </row>
    <row r="164" spans="1:33" ht="13.2">
      <c r="A164" s="182" t="s">
        <v>10</v>
      </c>
      <c r="B164" s="182" t="s">
        <v>45</v>
      </c>
      <c r="C164" s="182" t="s">
        <v>44</v>
      </c>
      <c r="D164" s="209">
        <v>2563955866</v>
      </c>
      <c r="E164" s="210">
        <v>2572377939.6122427</v>
      </c>
      <c r="F164" s="210">
        <v>2581799844.9011769</v>
      </c>
      <c r="G164" s="210">
        <v>2576542227.8229389</v>
      </c>
      <c r="H164" s="210">
        <v>2572029176.5013685</v>
      </c>
      <c r="I164" s="210">
        <v>2559004810.416028</v>
      </c>
      <c r="J164" s="210">
        <v>2554074707.1673646</v>
      </c>
      <c r="K164" s="210">
        <v>2547918420.085856</v>
      </c>
      <c r="L164" s="210">
        <v>2542607634.2420416</v>
      </c>
      <c r="M164" s="210">
        <v>2529744338.2413006</v>
      </c>
      <c r="N164" s="210">
        <v>2506020224.0827179</v>
      </c>
      <c r="O164" s="210">
        <v>2485582445.4950771</v>
      </c>
      <c r="P164" s="210">
        <v>2469185941.2585893</v>
      </c>
      <c r="Q164" s="210">
        <v>2455981882.1090069</v>
      </c>
      <c r="R164" s="210">
        <v>2444432630.9110665</v>
      </c>
      <c r="S164" s="210">
        <v>2433136311.9721084</v>
      </c>
      <c r="T164" s="210">
        <v>2422723996.9953389</v>
      </c>
      <c r="U164" s="210">
        <v>2413094491.2034326</v>
      </c>
      <c r="V164" s="210">
        <v>2402109061.8230562</v>
      </c>
      <c r="W164" s="210">
        <v>2389283017.3499289</v>
      </c>
      <c r="X164" s="210">
        <v>2379498781.6004982</v>
      </c>
      <c r="Y164" s="210">
        <v>2372291139.4058685</v>
      </c>
      <c r="Z164" s="210">
        <v>2366569171.3306365</v>
      </c>
      <c r="AA164" s="210">
        <v>2361063542.7957764</v>
      </c>
      <c r="AB164" s="210">
        <v>2356818074.307467</v>
      </c>
      <c r="AC164" s="210">
        <v>2350338972.3983603</v>
      </c>
      <c r="AD164" s="210">
        <v>2345878538.953403</v>
      </c>
      <c r="AE164" s="210">
        <v>2341610216.2101073</v>
      </c>
      <c r="AF164" s="210">
        <v>2339875283.7459025</v>
      </c>
      <c r="AG164" s="211">
        <v>2338854765.4802322</v>
      </c>
    </row>
    <row r="165" spans="1:33" ht="13.2">
      <c r="A165" s="188"/>
      <c r="B165" s="188"/>
      <c r="C165" s="189" t="s">
        <v>14</v>
      </c>
      <c r="D165" s="212">
        <v>9705752.7609999999</v>
      </c>
      <c r="E165" s="213">
        <v>10002379.926116517</v>
      </c>
      <c r="F165" s="213">
        <v>9833870.8556605373</v>
      </c>
      <c r="G165" s="213">
        <v>9840351.0274165645</v>
      </c>
      <c r="H165" s="213">
        <v>9868891.8388249557</v>
      </c>
      <c r="I165" s="213">
        <v>9856983.5918819774</v>
      </c>
      <c r="J165" s="213">
        <v>9879750.03277025</v>
      </c>
      <c r="K165" s="213">
        <v>9860455.4099974949</v>
      </c>
      <c r="L165" s="213">
        <v>9806754.3725690413</v>
      </c>
      <c r="M165" s="213">
        <v>9759924.0421151072</v>
      </c>
      <c r="N165" s="213">
        <v>9668267.5005153213</v>
      </c>
      <c r="O165" s="213">
        <v>9590731.4173764624</v>
      </c>
      <c r="P165" s="213">
        <v>9506968.7027858924</v>
      </c>
      <c r="Q165" s="213">
        <v>9433079.7903480139</v>
      </c>
      <c r="R165" s="213">
        <v>9371329.8355034776</v>
      </c>
      <c r="S165" s="213">
        <v>9308587.7437396459</v>
      </c>
      <c r="T165" s="213">
        <v>9236588.7822608519</v>
      </c>
      <c r="U165" s="213">
        <v>9160118.4971706234</v>
      </c>
      <c r="V165" s="213">
        <v>9082828.3572738562</v>
      </c>
      <c r="W165" s="213">
        <v>9006130.2299333997</v>
      </c>
      <c r="X165" s="213">
        <v>8932175.6799470466</v>
      </c>
      <c r="Y165" s="213">
        <v>8860321.318673417</v>
      </c>
      <c r="Z165" s="213">
        <v>8788738.2163937204</v>
      </c>
      <c r="AA165" s="213">
        <v>8723262.1860654131</v>
      </c>
      <c r="AB165" s="213">
        <v>8656494.3908600938</v>
      </c>
      <c r="AC165" s="213">
        <v>8587905.7247392982</v>
      </c>
      <c r="AD165" s="213">
        <v>8517497.6564925965</v>
      </c>
      <c r="AE165" s="213">
        <v>8446802.8263730295</v>
      </c>
      <c r="AF165" s="213">
        <v>8374361.7086224882</v>
      </c>
      <c r="AG165" s="214">
        <v>8300906.5676011369</v>
      </c>
    </row>
    <row r="166" spans="1:33" ht="13.2">
      <c r="A166" s="188"/>
      <c r="B166" s="182" t="s">
        <v>48</v>
      </c>
      <c r="C166" s="182" t="s">
        <v>44</v>
      </c>
      <c r="D166" s="209">
        <v>1578112546</v>
      </c>
      <c r="E166" s="210">
        <v>1615765713.7537293</v>
      </c>
      <c r="F166" s="210">
        <v>1657096013.4359932</v>
      </c>
      <c r="G166" s="210">
        <v>1656283816.1980772</v>
      </c>
      <c r="H166" s="210">
        <v>1667940181.0602021</v>
      </c>
      <c r="I166" s="210">
        <v>1680081420.670608</v>
      </c>
      <c r="J166" s="210">
        <v>1681484081.5803003</v>
      </c>
      <c r="K166" s="210">
        <v>1681959418.0469344</v>
      </c>
      <c r="L166" s="210">
        <v>1688404787.7822411</v>
      </c>
      <c r="M166" s="210">
        <v>1689382159.4717677</v>
      </c>
      <c r="N166" s="210">
        <v>1682080919.6386712</v>
      </c>
      <c r="O166" s="210">
        <v>1676110240.4399085</v>
      </c>
      <c r="P166" s="210">
        <v>1668499532.931525</v>
      </c>
      <c r="Q166" s="210">
        <v>1660010764.5284488</v>
      </c>
      <c r="R166" s="210">
        <v>1652835380.5079153</v>
      </c>
      <c r="S166" s="210">
        <v>1645706226.191159</v>
      </c>
      <c r="T166" s="210">
        <v>1642286602.1223745</v>
      </c>
      <c r="U166" s="210">
        <v>1637314847.5744457</v>
      </c>
      <c r="V166" s="210">
        <v>1630799814.7216358</v>
      </c>
      <c r="W166" s="210">
        <v>1622610566.1909907</v>
      </c>
      <c r="X166" s="210">
        <v>1618088393.1414058</v>
      </c>
      <c r="Y166" s="210">
        <v>1615954756.4390054</v>
      </c>
      <c r="Z166" s="210">
        <v>1612362439.0977061</v>
      </c>
      <c r="AA166" s="210">
        <v>1606481892.8924241</v>
      </c>
      <c r="AB166" s="210">
        <v>1601530691.3429501</v>
      </c>
      <c r="AC166" s="210">
        <v>1597285696.2688634</v>
      </c>
      <c r="AD166" s="210">
        <v>1589173977.0930099</v>
      </c>
      <c r="AE166" s="210">
        <v>1578899735.1613746</v>
      </c>
      <c r="AF166" s="210">
        <v>1572075391.0936017</v>
      </c>
      <c r="AG166" s="211">
        <v>1571066317.1184278</v>
      </c>
    </row>
    <row r="167" spans="1:33" ht="13.2">
      <c r="A167" s="188"/>
      <c r="B167" s="188"/>
      <c r="C167" s="189" t="s">
        <v>14</v>
      </c>
      <c r="D167" s="212">
        <v>5293680.7110000001</v>
      </c>
      <c r="E167" s="213">
        <v>5396836.5385175552</v>
      </c>
      <c r="F167" s="213">
        <v>5578793.5831447216</v>
      </c>
      <c r="G167" s="213">
        <v>5571041.4757640343</v>
      </c>
      <c r="H167" s="213">
        <v>5581637.5131938448</v>
      </c>
      <c r="I167" s="213">
        <v>5622461.7929657903</v>
      </c>
      <c r="J167" s="213">
        <v>5593473.3848244604</v>
      </c>
      <c r="K167" s="213">
        <v>5568090.9125883849</v>
      </c>
      <c r="L167" s="213">
        <v>5564247.4492354523</v>
      </c>
      <c r="M167" s="213">
        <v>5563623.1086497204</v>
      </c>
      <c r="N167" s="213">
        <v>5519958.5911059519</v>
      </c>
      <c r="O167" s="213">
        <v>5496370.6917759683</v>
      </c>
      <c r="P167" s="213">
        <v>5452692.7531774119</v>
      </c>
      <c r="Q167" s="213">
        <v>5412322.2955951551</v>
      </c>
      <c r="R167" s="213">
        <v>5390341.5487180213</v>
      </c>
      <c r="S167" s="213">
        <v>5359697.4944359632</v>
      </c>
      <c r="T167" s="213">
        <v>5336916.9071193887</v>
      </c>
      <c r="U167" s="213">
        <v>5321625.2212871304</v>
      </c>
      <c r="V167" s="213">
        <v>5298167.368174375</v>
      </c>
      <c r="W167" s="213">
        <v>5281220.9234536299</v>
      </c>
      <c r="X167" s="213">
        <v>5277399.4523933074</v>
      </c>
      <c r="Y167" s="213">
        <v>5285995.0914436691</v>
      </c>
      <c r="Z167" s="213">
        <v>5301451.8625984676</v>
      </c>
      <c r="AA167" s="213">
        <v>5289158.4773739027</v>
      </c>
      <c r="AB167" s="213">
        <v>5308025.0157665052</v>
      </c>
      <c r="AC167" s="213">
        <v>5307007.3771999357</v>
      </c>
      <c r="AD167" s="213">
        <v>5287365.1592663582</v>
      </c>
      <c r="AE167" s="213">
        <v>5278001.332330429</v>
      </c>
      <c r="AF167" s="213">
        <v>5270333.42277232</v>
      </c>
      <c r="AG167" s="214">
        <v>5287709.7552071465</v>
      </c>
    </row>
    <row r="168" spans="1:33" ht="13.2">
      <c r="A168" s="188"/>
      <c r="B168" s="182" t="s">
        <v>43</v>
      </c>
      <c r="C168" s="182" t="s">
        <v>44</v>
      </c>
      <c r="D168" s="209">
        <v>2609692474</v>
      </c>
      <c r="E168" s="210">
        <v>2498395813.5190587</v>
      </c>
      <c r="F168" s="210">
        <v>2592786402.828196</v>
      </c>
      <c r="G168" s="210">
        <v>2606812764.7066779</v>
      </c>
      <c r="H168" s="210">
        <v>2616353798.0748353</v>
      </c>
      <c r="I168" s="210">
        <v>2619890107.4705172</v>
      </c>
      <c r="J168" s="210">
        <v>2620792068.6564226</v>
      </c>
      <c r="K168" s="210">
        <v>2621767699.8754396</v>
      </c>
      <c r="L168" s="210">
        <v>2623756202.2095623</v>
      </c>
      <c r="M168" s="210">
        <v>2620480979.090694</v>
      </c>
      <c r="N168" s="210">
        <v>2601125969.661582</v>
      </c>
      <c r="O168" s="210">
        <v>2584375348.9911513</v>
      </c>
      <c r="P168" s="210">
        <v>2570814310.2576785</v>
      </c>
      <c r="Q168" s="210">
        <v>2559989655.2449527</v>
      </c>
      <c r="R168" s="210">
        <v>2551173072.5496984</v>
      </c>
      <c r="S168" s="210">
        <v>2542903004.0457902</v>
      </c>
      <c r="T168" s="210">
        <v>2536517025.043571</v>
      </c>
      <c r="U168" s="210">
        <v>2530032334.4359603</v>
      </c>
      <c r="V168" s="210">
        <v>2523191090.8089833</v>
      </c>
      <c r="W168" s="210">
        <v>2514330480.4525046</v>
      </c>
      <c r="X168" s="210">
        <v>2504596801.8966851</v>
      </c>
      <c r="Y168" s="210">
        <v>2496935139.1430998</v>
      </c>
      <c r="Z168" s="210">
        <v>2490719838.7429681</v>
      </c>
      <c r="AA168" s="210">
        <v>2486236963.5683346</v>
      </c>
      <c r="AB168" s="210">
        <v>2482515957.9661703</v>
      </c>
      <c r="AC168" s="210">
        <v>2479503748.5358934</v>
      </c>
      <c r="AD168" s="210">
        <v>2476571333.2921681</v>
      </c>
      <c r="AE168" s="210">
        <v>2475186245.4805889</v>
      </c>
      <c r="AF168" s="210">
        <v>2475369030.1452427</v>
      </c>
      <c r="AG168" s="211">
        <v>2477007527.3958416</v>
      </c>
    </row>
    <row r="169" spans="1:33" ht="13.2">
      <c r="A169" s="188"/>
      <c r="B169" s="188"/>
      <c r="C169" s="189" t="s">
        <v>14</v>
      </c>
      <c r="D169" s="212">
        <v>12685354.491</v>
      </c>
      <c r="E169" s="213">
        <v>12191691.023874894</v>
      </c>
      <c r="F169" s="213">
        <v>13267221.931330269</v>
      </c>
      <c r="G169" s="213">
        <v>13299088.706495984</v>
      </c>
      <c r="H169" s="213">
        <v>13299582.096470889</v>
      </c>
      <c r="I169" s="213">
        <v>13231739.271307059</v>
      </c>
      <c r="J169" s="213">
        <v>13134385.344549673</v>
      </c>
      <c r="K169" s="213">
        <v>13018995.85886508</v>
      </c>
      <c r="L169" s="213">
        <v>12888568.615033921</v>
      </c>
      <c r="M169" s="213">
        <v>12770819.80354563</v>
      </c>
      <c r="N169" s="213">
        <v>12579650.720056707</v>
      </c>
      <c r="O169" s="213">
        <v>12402623.418966098</v>
      </c>
      <c r="P169" s="213">
        <v>12226077.719624409</v>
      </c>
      <c r="Q169" s="213">
        <v>12060642.127900528</v>
      </c>
      <c r="R169" s="213">
        <v>11908831.542269643</v>
      </c>
      <c r="S169" s="213">
        <v>11761695.777035054</v>
      </c>
      <c r="T169" s="213">
        <v>11613321.81718269</v>
      </c>
      <c r="U169" s="213">
        <v>11466554.970753625</v>
      </c>
      <c r="V169" s="213">
        <v>11323593.541636279</v>
      </c>
      <c r="W169" s="213">
        <v>11185757.594667623</v>
      </c>
      <c r="X169" s="213">
        <v>11051090.511878978</v>
      </c>
      <c r="Y169" s="213">
        <v>10918989.567870075</v>
      </c>
      <c r="Z169" s="213">
        <v>10788623.392097747</v>
      </c>
      <c r="AA169" s="213">
        <v>10665366.918151241</v>
      </c>
      <c r="AB169" s="213">
        <v>10541107.125042196</v>
      </c>
      <c r="AC169" s="213">
        <v>10416847.647965832</v>
      </c>
      <c r="AD169" s="213">
        <v>10292402.271784149</v>
      </c>
      <c r="AE169" s="213">
        <v>10168542.469797704</v>
      </c>
      <c r="AF169" s="213">
        <v>10044363.296047328</v>
      </c>
      <c r="AG169" s="214">
        <v>9920471.6249039769</v>
      </c>
    </row>
    <row r="170" spans="1:33" ht="13.2">
      <c r="A170" s="188"/>
      <c r="B170" s="182" t="s">
        <v>50</v>
      </c>
      <c r="C170" s="182" t="s">
        <v>51</v>
      </c>
      <c r="D170" s="209">
        <v>4974644.533546444</v>
      </c>
      <c r="E170" s="210">
        <v>5001306.4562993404</v>
      </c>
      <c r="F170" s="210">
        <v>5046385.306854466</v>
      </c>
      <c r="G170" s="210">
        <v>4991285.1329337917</v>
      </c>
      <c r="H170" s="210">
        <v>4958332.2249434916</v>
      </c>
      <c r="I170" s="210">
        <v>4913116.9704795806</v>
      </c>
      <c r="J170" s="210">
        <v>4849529.5437908638</v>
      </c>
      <c r="K170" s="210">
        <v>4785202.8657957762</v>
      </c>
      <c r="L170" s="210">
        <v>4718182.9716700017</v>
      </c>
      <c r="M170" s="210">
        <v>4651567.4529065257</v>
      </c>
      <c r="N170" s="210">
        <v>4547639.2271037325</v>
      </c>
      <c r="O170" s="210">
        <v>4455229.2535881782</v>
      </c>
      <c r="P170" s="210">
        <v>4370068.4705104865</v>
      </c>
      <c r="Q170" s="210">
        <v>4283423.3870214978</v>
      </c>
      <c r="R170" s="210">
        <v>4204150.0032448545</v>
      </c>
      <c r="S170" s="210">
        <v>4127417.6540232357</v>
      </c>
      <c r="T170" s="210">
        <v>4062402.5871120016</v>
      </c>
      <c r="U170" s="210">
        <v>4002275.7325607697</v>
      </c>
      <c r="V170" s="210">
        <v>3940679.5051868334</v>
      </c>
      <c r="W170" s="210">
        <v>3884939.4529126799</v>
      </c>
      <c r="X170" s="210">
        <v>3831743.1129971803</v>
      </c>
      <c r="Y170" s="210">
        <v>3787654.9387104549</v>
      </c>
      <c r="Z170" s="210">
        <v>3745290.1970011112</v>
      </c>
      <c r="AA170" s="210">
        <v>3700650.9571964699</v>
      </c>
      <c r="AB170" s="210">
        <v>3655825.0868969345</v>
      </c>
      <c r="AC170" s="210">
        <v>3615210.7904105638</v>
      </c>
      <c r="AD170" s="210">
        <v>3569139.0109370565</v>
      </c>
      <c r="AE170" s="210">
        <v>3518210.9275169261</v>
      </c>
      <c r="AF170" s="210">
        <v>3475052.2446859977</v>
      </c>
      <c r="AG170" s="211">
        <v>3439804.1022494771</v>
      </c>
    </row>
    <row r="171" spans="1:33" ht="13.2">
      <c r="A171" s="188"/>
      <c r="B171" s="188"/>
      <c r="C171" s="189" t="s">
        <v>44</v>
      </c>
      <c r="D171" s="212"/>
      <c r="E171" s="213">
        <v>4710636.9287564019</v>
      </c>
      <c r="F171" s="213">
        <v>6164997.1485906234</v>
      </c>
      <c r="G171" s="213">
        <v>7763911.8531540083</v>
      </c>
      <c r="H171" s="213">
        <v>9459554.2428049948</v>
      </c>
      <c r="I171" s="213">
        <v>11247072.895967033</v>
      </c>
      <c r="J171" s="213">
        <v>13054758.269581277</v>
      </c>
      <c r="K171" s="213">
        <v>14840390.186050765</v>
      </c>
      <c r="L171" s="213">
        <v>16630481.647728289</v>
      </c>
      <c r="M171" s="213">
        <v>18435859.828456238</v>
      </c>
      <c r="N171" s="213">
        <v>20115348.354049262</v>
      </c>
      <c r="O171" s="213">
        <v>21735303.49578749</v>
      </c>
      <c r="P171" s="213">
        <v>23335106.271527838</v>
      </c>
      <c r="Q171" s="213">
        <v>24914119.433663048</v>
      </c>
      <c r="R171" s="213">
        <v>26448138.183791704</v>
      </c>
      <c r="S171" s="213">
        <v>27956209.596302517</v>
      </c>
      <c r="T171" s="213">
        <v>29446461.363398738</v>
      </c>
      <c r="U171" s="213">
        <v>30913119.73579954</v>
      </c>
      <c r="V171" s="213">
        <v>32353982.312564701</v>
      </c>
      <c r="W171" s="213">
        <v>33771956.714180693</v>
      </c>
      <c r="X171" s="213">
        <v>35140724.162527867</v>
      </c>
      <c r="Y171" s="213">
        <v>36471147.854464628</v>
      </c>
      <c r="Z171" s="213">
        <v>37790143.442776322</v>
      </c>
      <c r="AA171" s="213">
        <v>39109149.592904635</v>
      </c>
      <c r="AB171" s="213">
        <v>40369089.240210362</v>
      </c>
      <c r="AC171" s="213">
        <v>41611950.792523943</v>
      </c>
      <c r="AD171" s="213">
        <v>42811742.97160051</v>
      </c>
      <c r="AE171" s="213">
        <v>43972430.814397924</v>
      </c>
      <c r="AF171" s="213">
        <v>45126769.30750747</v>
      </c>
      <c r="AG171" s="214">
        <v>46279365.081995919</v>
      </c>
    </row>
    <row r="172" spans="1:33" ht="15.75" customHeight="1">
      <c r="A172" s="190"/>
      <c r="B172" s="190"/>
      <c r="C172" s="191" t="s">
        <v>46</v>
      </c>
      <c r="D172" s="215">
        <v>21080811.626997966</v>
      </c>
      <c r="E172" s="216">
        <v>21649923.675707266</v>
      </c>
      <c r="F172" s="216">
        <v>22002198.147301707</v>
      </c>
      <c r="G172" s="216">
        <v>21876131.047437929</v>
      </c>
      <c r="H172" s="216">
        <v>21722178.69470622</v>
      </c>
      <c r="I172" s="216">
        <v>21516680.539828289</v>
      </c>
      <c r="J172" s="216">
        <v>21275088.217270091</v>
      </c>
      <c r="K172" s="216">
        <v>21021009.194349889</v>
      </c>
      <c r="L172" s="216">
        <v>20788797.858741432</v>
      </c>
      <c r="M172" s="216">
        <v>20582373.346801635</v>
      </c>
      <c r="N172" s="216">
        <v>20261720.16685167</v>
      </c>
      <c r="O172" s="216">
        <v>19935890.205766927</v>
      </c>
      <c r="P172" s="216">
        <v>19651608.179672591</v>
      </c>
      <c r="Q172" s="216">
        <v>19379039.448860854</v>
      </c>
      <c r="R172" s="216">
        <v>19107563.676245116</v>
      </c>
      <c r="S172" s="216">
        <v>18853851.0005395</v>
      </c>
      <c r="T172" s="216">
        <v>18626904.027255278</v>
      </c>
      <c r="U172" s="216">
        <v>18412331.768469792</v>
      </c>
      <c r="V172" s="216">
        <v>18218628.879878279</v>
      </c>
      <c r="W172" s="216">
        <v>18038995.581421882</v>
      </c>
      <c r="X172" s="216">
        <v>17868770.583001234</v>
      </c>
      <c r="Y172" s="216">
        <v>17710248.148094762</v>
      </c>
      <c r="Z172" s="216">
        <v>17558903.875746869</v>
      </c>
      <c r="AA172" s="216">
        <v>17420089.195837941</v>
      </c>
      <c r="AB172" s="216">
        <v>17294724.683159489</v>
      </c>
      <c r="AC172" s="216">
        <v>17187353.123692915</v>
      </c>
      <c r="AD172" s="216">
        <v>17079556.135404482</v>
      </c>
      <c r="AE172" s="216">
        <v>16973895.916929159</v>
      </c>
      <c r="AF172" s="216">
        <v>16883885.718859795</v>
      </c>
      <c r="AG172" s="217">
        <v>16811534.254184648</v>
      </c>
    </row>
  </sheetData>
  <mergeCells count="4">
    <mergeCell ref="B94:B95"/>
    <mergeCell ref="B96:B97"/>
    <mergeCell ref="B98:B100"/>
    <mergeCell ref="B102:B104"/>
  </mergeCell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59999389629810485"/>
    <outlinePr summaryBelow="0" summaryRight="0"/>
  </sheetPr>
  <dimension ref="A1:AH58"/>
  <sheetViews>
    <sheetView workbookViewId="0"/>
  </sheetViews>
  <sheetFormatPr defaultColWidth="12.5546875" defaultRowHeight="15.75" customHeight="1"/>
  <cols>
    <col min="2" max="2" width="62.5546875" customWidth="1"/>
  </cols>
  <sheetData>
    <row r="1" spans="1:34" ht="13.2">
      <c r="A1" s="20" t="s">
        <v>110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</row>
    <row r="2" spans="1:34" ht="13.2">
      <c r="A2" s="20" t="s">
        <v>111</v>
      </c>
      <c r="B2" s="20" t="s">
        <v>112</v>
      </c>
      <c r="C2" s="20" t="s">
        <v>113</v>
      </c>
      <c r="D2" s="20">
        <v>2020</v>
      </c>
      <c r="E2" s="20">
        <v>2021</v>
      </c>
      <c r="F2" s="20">
        <v>2022</v>
      </c>
      <c r="G2" s="20">
        <v>2023</v>
      </c>
      <c r="H2" s="20">
        <v>2024</v>
      </c>
      <c r="I2" s="20">
        <v>2025</v>
      </c>
      <c r="J2" s="20">
        <v>2026</v>
      </c>
      <c r="K2" s="20">
        <v>2027</v>
      </c>
      <c r="L2" s="20">
        <v>2028</v>
      </c>
      <c r="M2" s="20">
        <v>2029</v>
      </c>
      <c r="N2" s="20">
        <v>2030</v>
      </c>
      <c r="O2" s="20">
        <v>2031</v>
      </c>
      <c r="P2" s="20">
        <v>2032</v>
      </c>
      <c r="Q2" s="20">
        <v>2033</v>
      </c>
      <c r="R2" s="20">
        <v>2034</v>
      </c>
      <c r="S2" s="20">
        <v>2035</v>
      </c>
      <c r="T2" s="20">
        <v>2036</v>
      </c>
      <c r="U2" s="20">
        <v>2037</v>
      </c>
      <c r="V2" s="20">
        <v>2038</v>
      </c>
      <c r="W2" s="20">
        <v>2039</v>
      </c>
      <c r="X2" s="20">
        <v>2040</v>
      </c>
      <c r="Y2" s="20">
        <v>2041</v>
      </c>
      <c r="Z2" s="20">
        <v>2042</v>
      </c>
      <c r="AA2" s="20">
        <v>2043</v>
      </c>
      <c r="AB2" s="20">
        <v>2044</v>
      </c>
      <c r="AC2" s="20">
        <v>2045</v>
      </c>
      <c r="AD2" s="20">
        <v>2046</v>
      </c>
      <c r="AE2" s="20">
        <v>2047</v>
      </c>
      <c r="AF2" s="20">
        <v>2048</v>
      </c>
      <c r="AG2" s="20">
        <v>2049</v>
      </c>
      <c r="AH2" s="20">
        <v>2050</v>
      </c>
    </row>
    <row r="3" spans="1:34" ht="13.2">
      <c r="A3" s="20" t="s">
        <v>114</v>
      </c>
      <c r="B3" s="20" t="s">
        <v>115</v>
      </c>
      <c r="C3" s="20" t="s">
        <v>113</v>
      </c>
      <c r="D3" s="21">
        <v>150.83699999999999</v>
      </c>
      <c r="E3" s="21">
        <v>155.44200000000001</v>
      </c>
      <c r="F3" s="21">
        <v>155.922</v>
      </c>
      <c r="G3" s="21">
        <v>157.488</v>
      </c>
      <c r="H3" s="21">
        <v>158.697</v>
      </c>
      <c r="I3" s="21">
        <v>160.215</v>
      </c>
      <c r="J3" s="21">
        <v>161.756</v>
      </c>
      <c r="K3" s="21">
        <v>163.203</v>
      </c>
      <c r="L3" s="21">
        <v>164.80699999999999</v>
      </c>
      <c r="M3" s="21">
        <v>166.637</v>
      </c>
      <c r="N3" s="21">
        <v>168.489</v>
      </c>
      <c r="O3" s="21">
        <v>170.48599999999999</v>
      </c>
      <c r="P3" s="21">
        <v>172.631</v>
      </c>
      <c r="Q3" s="21">
        <v>174.75800000000001</v>
      </c>
      <c r="R3" s="21">
        <v>176.983</v>
      </c>
      <c r="S3" s="21">
        <v>179.31399999999999</v>
      </c>
      <c r="T3" s="21">
        <v>181.67400000000001</v>
      </c>
      <c r="U3" s="21">
        <v>184.21299999999999</v>
      </c>
      <c r="V3" s="21">
        <v>186.8</v>
      </c>
      <c r="W3" s="21">
        <v>189.31700000000001</v>
      </c>
      <c r="X3" s="21">
        <v>191.80699999999999</v>
      </c>
      <c r="Y3" s="21">
        <v>194.17599999999999</v>
      </c>
      <c r="Z3" s="21">
        <v>196.58</v>
      </c>
      <c r="AA3" s="21">
        <v>198.94300000000001</v>
      </c>
      <c r="AB3" s="21">
        <v>201.12899999999999</v>
      </c>
      <c r="AC3" s="21">
        <v>203.22499999999999</v>
      </c>
      <c r="AD3" s="21">
        <v>205.42099999999999</v>
      </c>
      <c r="AE3" s="21">
        <v>207.45400000000001</v>
      </c>
      <c r="AF3" s="21">
        <v>209.268</v>
      </c>
      <c r="AG3" s="21">
        <v>211.38</v>
      </c>
      <c r="AH3" s="21">
        <v>213.89400000000001</v>
      </c>
    </row>
    <row r="4" spans="1:34" ht="13.2">
      <c r="A4" s="20" t="s">
        <v>114</v>
      </c>
      <c r="B4" s="20" t="s">
        <v>116</v>
      </c>
      <c r="C4" s="20" t="s">
        <v>113</v>
      </c>
      <c r="D4" s="21">
        <v>67.806399999999996</v>
      </c>
      <c r="E4" s="21">
        <v>66.512699999999995</v>
      </c>
      <c r="F4" s="21">
        <v>58.674500000000002</v>
      </c>
      <c r="G4" s="21">
        <v>52.553800000000003</v>
      </c>
      <c r="H4" s="21">
        <v>52.6616</v>
      </c>
      <c r="I4" s="21">
        <v>55.680599999999998</v>
      </c>
      <c r="J4" s="21">
        <v>54.444699999999997</v>
      </c>
      <c r="K4" s="21">
        <v>53.012999999999998</v>
      </c>
      <c r="L4" s="21">
        <v>52.805399999999999</v>
      </c>
      <c r="M4" s="21">
        <v>54.601199999999999</v>
      </c>
      <c r="N4" s="21">
        <v>56.756599999999999</v>
      </c>
      <c r="O4" s="21">
        <v>58.473700000000001</v>
      </c>
      <c r="P4" s="21">
        <v>60.526800000000001</v>
      </c>
      <c r="Q4" s="21">
        <v>62.304900000000004</v>
      </c>
      <c r="R4" s="21">
        <v>63.998800000000003</v>
      </c>
      <c r="S4" s="21">
        <v>64.462699999999998</v>
      </c>
      <c r="T4" s="21">
        <v>64.736900000000006</v>
      </c>
      <c r="U4" s="21">
        <v>65.033699999999996</v>
      </c>
      <c r="V4" s="21">
        <v>64.965900000000005</v>
      </c>
      <c r="W4" s="21">
        <v>65.0565</v>
      </c>
      <c r="X4" s="21">
        <v>65.112700000000004</v>
      </c>
      <c r="Y4" s="21">
        <v>65.330399999999997</v>
      </c>
      <c r="Z4" s="21">
        <v>65.513999999999996</v>
      </c>
      <c r="AA4" s="21">
        <v>65.873099999999994</v>
      </c>
      <c r="AB4" s="21">
        <v>65.9495</v>
      </c>
      <c r="AC4" s="21">
        <v>66.300200000000004</v>
      </c>
      <c r="AD4" s="21">
        <v>66.309299999999993</v>
      </c>
      <c r="AE4" s="21">
        <v>66.355900000000005</v>
      </c>
      <c r="AF4" s="21">
        <v>66.657399999999996</v>
      </c>
      <c r="AG4" s="21">
        <v>66.555000000000007</v>
      </c>
      <c r="AH4" s="21">
        <v>66.481099999999998</v>
      </c>
    </row>
    <row r="5" spans="1:34" ht="13.2">
      <c r="B5" s="20" t="s">
        <v>117</v>
      </c>
      <c r="D5" s="25">
        <f t="shared" ref="D5:AH5" si="0">(D4*1000)/(D3)</f>
        <v>449.53426546536991</v>
      </c>
      <c r="E5" s="25">
        <f t="shared" si="0"/>
        <v>427.89400548114406</v>
      </c>
      <c r="F5" s="25">
        <f t="shared" si="0"/>
        <v>376.3067431151473</v>
      </c>
      <c r="G5" s="25">
        <f t="shared" si="0"/>
        <v>333.70034542314335</v>
      </c>
      <c r="H5" s="25">
        <f t="shared" si="0"/>
        <v>331.837400833034</v>
      </c>
      <c r="I5" s="25">
        <f t="shared" si="0"/>
        <v>347.53674749555285</v>
      </c>
      <c r="J5" s="25">
        <f t="shared" si="0"/>
        <v>336.58535077524169</v>
      </c>
      <c r="K5" s="25">
        <f t="shared" si="0"/>
        <v>324.82858770978476</v>
      </c>
      <c r="L5" s="25">
        <f t="shared" si="0"/>
        <v>320.40750696268975</v>
      </c>
      <c r="M5" s="25">
        <f t="shared" si="0"/>
        <v>327.66552446335447</v>
      </c>
      <c r="N5" s="25">
        <f t="shared" si="0"/>
        <v>336.85641199128725</v>
      </c>
      <c r="O5" s="25">
        <f t="shared" si="0"/>
        <v>342.98241497835602</v>
      </c>
      <c r="P5" s="25">
        <f t="shared" si="0"/>
        <v>350.61373681436129</v>
      </c>
      <c r="Q5" s="25">
        <f t="shared" si="0"/>
        <v>356.52101763581635</v>
      </c>
      <c r="R5" s="25">
        <f t="shared" si="0"/>
        <v>361.60987213461181</v>
      </c>
      <c r="S5" s="25">
        <f t="shared" si="0"/>
        <v>359.49619103918263</v>
      </c>
      <c r="T5" s="25">
        <f t="shared" si="0"/>
        <v>356.33552407058801</v>
      </c>
      <c r="U5" s="25">
        <f t="shared" si="0"/>
        <v>353.03534495393916</v>
      </c>
      <c r="V5" s="25">
        <f t="shared" si="0"/>
        <v>347.78319057815844</v>
      </c>
      <c r="W5" s="25">
        <f t="shared" si="0"/>
        <v>343.63791946840485</v>
      </c>
      <c r="X5" s="25">
        <f t="shared" si="0"/>
        <v>339.46988378943422</v>
      </c>
      <c r="Y5" s="25">
        <f t="shared" si="0"/>
        <v>336.44940672379698</v>
      </c>
      <c r="Z5" s="25">
        <f t="shared" si="0"/>
        <v>333.26889815851047</v>
      </c>
      <c r="AA5" s="25">
        <f t="shared" si="0"/>
        <v>331.11544512749879</v>
      </c>
      <c r="AB5" s="25">
        <f t="shared" si="0"/>
        <v>327.89652412133506</v>
      </c>
      <c r="AC5" s="25">
        <f t="shared" si="0"/>
        <v>326.24037396973796</v>
      </c>
      <c r="AD5" s="25">
        <f t="shared" si="0"/>
        <v>322.79708501078267</v>
      </c>
      <c r="AE5" s="25">
        <f t="shared" si="0"/>
        <v>319.85837824288762</v>
      </c>
      <c r="AF5" s="25">
        <f t="shared" si="0"/>
        <v>318.5264827876216</v>
      </c>
      <c r="AG5" s="25">
        <f t="shared" si="0"/>
        <v>314.85949474879362</v>
      </c>
      <c r="AH5" s="25">
        <f t="shared" si="0"/>
        <v>310.81330004581702</v>
      </c>
    </row>
    <row r="6" spans="1:34" ht="13.2">
      <c r="D6" s="21"/>
      <c r="F6" s="20">
        <f t="shared" ref="F6:AH6" si="1">(F5-E5)/E5</f>
        <v>-0.12056084381922956</v>
      </c>
      <c r="G6" s="20">
        <f t="shared" si="1"/>
        <v>-0.11322251984989459</v>
      </c>
      <c r="H6" s="20">
        <f t="shared" si="1"/>
        <v>-5.5826870294277747E-3</v>
      </c>
      <c r="I6" s="20">
        <f t="shared" si="1"/>
        <v>4.7310359299788725E-2</v>
      </c>
      <c r="J6" s="20">
        <f t="shared" si="1"/>
        <v>-3.1511478424166607E-2</v>
      </c>
      <c r="K6" s="20">
        <f t="shared" si="1"/>
        <v>-3.4929515020122301E-2</v>
      </c>
      <c r="L6" s="20">
        <f t="shared" si="1"/>
        <v>-1.3610503860716164E-2</v>
      </c>
      <c r="M6" s="20">
        <f t="shared" si="1"/>
        <v>2.2652457707583892E-2</v>
      </c>
      <c r="N6" s="20">
        <f t="shared" si="1"/>
        <v>2.8049601931681604E-2</v>
      </c>
      <c r="O6" s="20">
        <f t="shared" si="1"/>
        <v>1.8185798960618334E-2</v>
      </c>
      <c r="P6" s="20">
        <f t="shared" si="1"/>
        <v>2.2249892422288899E-2</v>
      </c>
      <c r="Q6" s="20">
        <f t="shared" si="1"/>
        <v>1.6848400964343209E-2</v>
      </c>
      <c r="R6" s="20">
        <f t="shared" si="1"/>
        <v>1.4273645162747976E-2</v>
      </c>
      <c r="S6" s="20">
        <f t="shared" si="1"/>
        <v>-5.8451974304571507E-3</v>
      </c>
      <c r="T6" s="20">
        <f t="shared" si="1"/>
        <v>-8.79193451106728E-3</v>
      </c>
      <c r="U6" s="20">
        <f t="shared" si="1"/>
        <v>-9.2614373075952487E-3</v>
      </c>
      <c r="V6" s="20">
        <f t="shared" si="1"/>
        <v>-1.4877134685950418E-2</v>
      </c>
      <c r="W6" s="20">
        <f t="shared" si="1"/>
        <v>-1.1919124391441839E-2</v>
      </c>
      <c r="X6" s="20">
        <f t="shared" si="1"/>
        <v>-1.2129149441419103E-2</v>
      </c>
      <c r="Y6" s="20">
        <f t="shared" si="1"/>
        <v>-8.8976289499388215E-3</v>
      </c>
      <c r="Z6" s="20">
        <f t="shared" si="1"/>
        <v>-9.4531555167743416E-3</v>
      </c>
      <c r="AA6" s="20">
        <f t="shared" si="1"/>
        <v>-6.4616081575888515E-3</v>
      </c>
      <c r="AB6" s="20">
        <f t="shared" si="1"/>
        <v>-9.7214462615123638E-3</v>
      </c>
      <c r="AC6" s="20">
        <f t="shared" si="1"/>
        <v>-5.0508316793997487E-3</v>
      </c>
      <c r="AD6" s="20">
        <f t="shared" si="1"/>
        <v>-1.0554453812864658E-2</v>
      </c>
      <c r="AE6" s="20">
        <f t="shared" si="1"/>
        <v>-9.1038826072325826E-3</v>
      </c>
      <c r="AF6" s="20">
        <f t="shared" si="1"/>
        <v>-4.1640161579717437E-3</v>
      </c>
      <c r="AG6" s="20">
        <f t="shared" si="1"/>
        <v>-1.1512349010154219E-2</v>
      </c>
      <c r="AH6" s="20">
        <f t="shared" si="1"/>
        <v>-1.2850794625726018E-2</v>
      </c>
    </row>
    <row r="7" spans="1:34" ht="15.75" customHeight="1">
      <c r="A7" s="47" t="s">
        <v>118</v>
      </c>
      <c r="B7" s="48"/>
      <c r="D7" s="21"/>
    </row>
    <row r="8" spans="1:34" ht="15.75" customHeight="1">
      <c r="A8" s="49" t="s">
        <v>119</v>
      </c>
      <c r="B8" s="48"/>
      <c r="D8" s="21"/>
    </row>
    <row r="9" spans="1:34" ht="15.75" customHeight="1">
      <c r="A9" s="50"/>
      <c r="B9" s="48"/>
      <c r="D9" s="21"/>
    </row>
    <row r="10" spans="1:34" ht="15.75" customHeight="1">
      <c r="A10" s="50"/>
      <c r="B10" s="51" t="s">
        <v>120</v>
      </c>
      <c r="C10" s="52" t="s">
        <v>121</v>
      </c>
      <c r="D10" s="53" t="s">
        <v>122</v>
      </c>
    </row>
    <row r="11" spans="1:34" ht="15.75" customHeight="1">
      <c r="A11" s="50" t="s">
        <v>46</v>
      </c>
      <c r="B11" s="54">
        <v>8.7799999999999994</v>
      </c>
      <c r="C11" s="20">
        <f>5.25/42</f>
        <v>0.125</v>
      </c>
      <c r="D11" s="25">
        <f t="shared" ref="D11:D12" si="2">B11/C11</f>
        <v>70.239999999999995</v>
      </c>
    </row>
    <row r="12" spans="1:34" ht="15.75" customHeight="1">
      <c r="A12" s="50" t="s">
        <v>51</v>
      </c>
      <c r="B12" s="54">
        <v>10.210000000000001</v>
      </c>
      <c r="C12" s="55">
        <f>5.8/42</f>
        <v>0.1380952380952381</v>
      </c>
      <c r="D12" s="25">
        <f t="shared" si="2"/>
        <v>73.934482758620689</v>
      </c>
    </row>
    <row r="13" spans="1:34" ht="13.2">
      <c r="D13" s="21"/>
    </row>
    <row r="14" spans="1:34" ht="15.75" customHeight="1">
      <c r="A14" s="302" t="s">
        <v>123</v>
      </c>
      <c r="B14" s="285"/>
      <c r="C14" s="285"/>
      <c r="D14" s="285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</row>
    <row r="15" spans="1:34" ht="15.75" customHeight="1">
      <c r="A15" s="50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</row>
    <row r="16" spans="1:34" ht="15.75" customHeight="1">
      <c r="A16" s="50"/>
      <c r="B16" s="52" t="s">
        <v>124</v>
      </c>
      <c r="C16" s="56" t="s">
        <v>125</v>
      </c>
      <c r="D16" s="56"/>
      <c r="E16" s="56"/>
      <c r="F16" s="56"/>
      <c r="G16" s="56"/>
      <c r="H16" s="57"/>
      <c r="I16" s="48"/>
      <c r="J16" s="58" t="s">
        <v>124</v>
      </c>
      <c r="K16" s="303" t="s">
        <v>126</v>
      </c>
      <c r="L16" s="304"/>
      <c r="M16" s="56"/>
      <c r="N16" s="56"/>
      <c r="O16" s="56"/>
      <c r="P16" s="57"/>
    </row>
    <row r="17" spans="1:16" ht="15.75" customHeight="1">
      <c r="A17" s="50"/>
      <c r="B17" s="59"/>
      <c r="C17" s="60" t="s">
        <v>46</v>
      </c>
      <c r="D17" s="60" t="s">
        <v>46</v>
      </c>
      <c r="E17" s="60" t="s">
        <v>46</v>
      </c>
      <c r="F17" s="60" t="s">
        <v>51</v>
      </c>
      <c r="G17" s="60" t="s">
        <v>51</v>
      </c>
      <c r="H17" s="60" t="s">
        <v>51</v>
      </c>
      <c r="I17" s="48"/>
      <c r="J17" s="59"/>
      <c r="K17" s="60" t="s">
        <v>46</v>
      </c>
      <c r="L17" s="60" t="s">
        <v>46</v>
      </c>
      <c r="M17" s="60" t="s">
        <v>46</v>
      </c>
      <c r="N17" s="60" t="s">
        <v>51</v>
      </c>
      <c r="O17" s="60" t="s">
        <v>51</v>
      </c>
      <c r="P17" s="60" t="s">
        <v>51</v>
      </c>
    </row>
    <row r="18" spans="1:16" ht="15.75" customHeight="1">
      <c r="A18" s="50"/>
      <c r="B18" s="61"/>
      <c r="C18" s="62" t="s">
        <v>127</v>
      </c>
      <c r="D18" s="62" t="s">
        <v>128</v>
      </c>
      <c r="E18" s="62" t="s">
        <v>129</v>
      </c>
      <c r="F18" s="62" t="s">
        <v>127</v>
      </c>
      <c r="G18" s="62" t="s">
        <v>128</v>
      </c>
      <c r="H18" s="62" t="s">
        <v>129</v>
      </c>
      <c r="I18" s="63"/>
      <c r="J18" s="64"/>
      <c r="K18" s="62" t="s">
        <v>127</v>
      </c>
      <c r="L18" s="62" t="s">
        <v>128</v>
      </c>
      <c r="M18" s="62" t="s">
        <v>129</v>
      </c>
      <c r="N18" s="62" t="s">
        <v>127</v>
      </c>
      <c r="O18" s="62" t="s">
        <v>128</v>
      </c>
      <c r="P18" s="62" t="s">
        <v>129</v>
      </c>
    </row>
    <row r="19" spans="1:16" ht="15.75" customHeight="1">
      <c r="B19" s="65">
        <v>2020</v>
      </c>
      <c r="C19" s="65">
        <v>6.4999999999999997E-3</v>
      </c>
      <c r="D19" s="66">
        <v>9.1000000000000004E-3</v>
      </c>
      <c r="E19" s="66">
        <v>3.2099999999999997E-2</v>
      </c>
      <c r="F19" s="66">
        <v>3.0200000000000001E-2</v>
      </c>
      <c r="G19" s="66">
        <v>2.9000000000000001E-2</v>
      </c>
      <c r="H19" s="66">
        <v>9.4999999999999998E-3</v>
      </c>
      <c r="I19" s="48"/>
      <c r="J19" s="65">
        <v>2020</v>
      </c>
      <c r="K19" s="65">
        <v>3.8E-3</v>
      </c>
      <c r="L19" s="66">
        <v>2.8999999999999998E-3</v>
      </c>
      <c r="M19" s="66">
        <v>6.1000000000000004E-3</v>
      </c>
      <c r="N19" s="66">
        <v>1.9199999999999998E-2</v>
      </c>
      <c r="O19" s="66">
        <v>2.1399999999999999E-2</v>
      </c>
      <c r="P19" s="66">
        <v>4.3099999999999999E-2</v>
      </c>
    </row>
    <row r="20" spans="1:16" ht="13.2">
      <c r="C20" s="20"/>
      <c r="D20" s="20"/>
    </row>
    <row r="21" spans="1:16" ht="15.75" customHeight="1">
      <c r="A21" s="302" t="s">
        <v>130</v>
      </c>
      <c r="B21" s="285"/>
      <c r="C21" s="48"/>
      <c r="D21" s="48"/>
      <c r="E21" s="48"/>
      <c r="F21" s="48"/>
      <c r="G21" s="48"/>
      <c r="H21" s="48"/>
      <c r="I21" s="48"/>
      <c r="J21" s="48"/>
      <c r="K21" s="48"/>
    </row>
    <row r="22" spans="1:16" ht="15.75" customHeight="1">
      <c r="B22" s="67"/>
      <c r="C22" s="52" t="s">
        <v>131</v>
      </c>
      <c r="D22" s="52" t="s">
        <v>132</v>
      </c>
      <c r="E22" s="48"/>
      <c r="F22" s="48"/>
      <c r="G22" s="48"/>
    </row>
    <row r="23" spans="1:16" ht="15.75" customHeight="1">
      <c r="B23" s="52" t="s">
        <v>133</v>
      </c>
      <c r="C23" s="67" t="s">
        <v>46</v>
      </c>
      <c r="D23" s="67" t="s">
        <v>46</v>
      </c>
    </row>
    <row r="24" spans="1:16" ht="14.4">
      <c r="B24" s="68" t="s">
        <v>134</v>
      </c>
      <c r="C24" s="69">
        <v>7.0000000000000001E-3</v>
      </c>
      <c r="D24" s="69">
        <v>8.3000000000000001E-3</v>
      </c>
    </row>
    <row r="25" spans="1:16" ht="13.8">
      <c r="B25" s="20"/>
      <c r="C25" s="63"/>
      <c r="D25" s="63"/>
      <c r="E25" s="63"/>
      <c r="F25" s="63"/>
      <c r="G25" s="63"/>
      <c r="H25" s="63"/>
    </row>
    <row r="26" spans="1:16" ht="13.8">
      <c r="B26" s="20"/>
      <c r="C26" s="63"/>
      <c r="D26" s="63"/>
      <c r="E26" s="63"/>
      <c r="F26" s="63"/>
      <c r="G26" s="63"/>
      <c r="H26" s="63"/>
    </row>
    <row r="27" spans="1:16" ht="27.6">
      <c r="B27" s="20"/>
      <c r="C27" s="70" t="s">
        <v>135</v>
      </c>
      <c r="D27" s="70" t="s">
        <v>127</v>
      </c>
      <c r="E27" s="70" t="s">
        <v>128</v>
      </c>
      <c r="F27" s="70" t="s">
        <v>129</v>
      </c>
      <c r="G27" s="70" t="s">
        <v>127</v>
      </c>
      <c r="H27" s="70" t="s">
        <v>128</v>
      </c>
      <c r="I27" s="71" t="s">
        <v>129</v>
      </c>
      <c r="J27" s="72"/>
    </row>
    <row r="28" spans="1:16" ht="13.8">
      <c r="C28" s="70" t="s">
        <v>46</v>
      </c>
      <c r="D28" s="70" t="s">
        <v>46</v>
      </c>
      <c r="E28" s="70" t="s">
        <v>46</v>
      </c>
      <c r="F28" s="70" t="s">
        <v>46</v>
      </c>
      <c r="G28" s="70" t="s">
        <v>51</v>
      </c>
      <c r="H28" s="70" t="s">
        <v>51</v>
      </c>
      <c r="I28" s="70" t="s">
        <v>51</v>
      </c>
      <c r="J28" s="72" t="s">
        <v>136</v>
      </c>
    </row>
    <row r="29" spans="1:16" ht="13.2">
      <c r="B29" s="73" t="s">
        <v>137</v>
      </c>
      <c r="C29" s="21">
        <f ca="1">IFERROR(__xludf.DUMMYFUNCTION("IMPORTRANGE(""https://docs.google.com/spreadsheets/d/1xsqsPLhBO7fHAdQrQL6i9xl_YzbUswo2xD1VyzEhqBE"",""Mobile DataSheet!I2"")"),46659742.59)</f>
        <v>46659742.590000004</v>
      </c>
      <c r="D29" s="21">
        <f ca="1">IFERROR(__xludf.DUMMYFUNCTION("IMPORTRANGE(""https://docs.google.com/spreadsheets/d/1xsqsPLhBO7fHAdQrQL6i9xl_YzbUswo2xD1VyzEhqBE"",""Mobile DataSheet!I3"")"),4779949785)</f>
        <v>4779949785</v>
      </c>
      <c r="E29" s="21">
        <f ca="1">IFERROR(__xludf.DUMMYFUNCTION("IMPORTRANGE(""https://docs.google.com/spreadsheets/d/1xsqsPLhBO7fHAdQrQL6i9xl_YzbUswo2xD1VyzEhqBE"",""Mobile DataSheet!I4"")"),1284618115)</f>
        <v>1284618115</v>
      </c>
      <c r="F29" s="20">
        <v>0</v>
      </c>
      <c r="G29" s="20">
        <v>0</v>
      </c>
      <c r="H29" s="20">
        <v>0</v>
      </c>
      <c r="I29" s="21">
        <f ca="1">IFERROR(__xludf.DUMMYFUNCTION("sum(IMPORTRANGE(""https://docs.google.com/spreadsheets/d/1xsqsPLhBO7fHAdQrQL6i9xl_YzbUswo2xD1VyzEhqBE"",""Mobile DataSheet!I5:I7""))"),743866760.329999)</f>
        <v>743866760.32999897</v>
      </c>
      <c r="J29" s="21">
        <f ca="1">SUM(C29:F29)</f>
        <v>6111227642.5900002</v>
      </c>
    </row>
    <row r="30" spans="1:16" ht="13.2">
      <c r="B30" s="73" t="s">
        <v>138</v>
      </c>
      <c r="C30" s="20">
        <v>50</v>
      </c>
      <c r="D30" s="20">
        <v>24.1</v>
      </c>
      <c r="E30" s="20">
        <v>18.5</v>
      </c>
      <c r="F30" s="20"/>
      <c r="G30" s="20"/>
      <c r="H30" s="20"/>
      <c r="I30" s="20">
        <v>12.96</v>
      </c>
      <c r="J30" s="55">
        <f t="shared" ref="J30:J35" ca="1" si="3">SUMPRODUCT($C$29:$F$29,C30:F30)/SUM($C$29:$F$29)</f>
        <v>23.120593821574229</v>
      </c>
    </row>
    <row r="31" spans="1:16" ht="13.2">
      <c r="B31" s="73" t="s">
        <v>139</v>
      </c>
      <c r="C31" s="20">
        <f t="shared" ref="C31:E31" si="4">C30/$C$11</f>
        <v>400</v>
      </c>
      <c r="D31" s="20">
        <f t="shared" si="4"/>
        <v>192.8</v>
      </c>
      <c r="E31" s="20">
        <f t="shared" si="4"/>
        <v>148</v>
      </c>
      <c r="F31" s="20"/>
      <c r="G31" s="20"/>
      <c r="H31" s="20"/>
      <c r="I31" s="74">
        <f>I30/$C$12</f>
        <v>93.848275862068959</v>
      </c>
      <c r="J31" s="55">
        <f t="shared" ca="1" si="3"/>
        <v>184.96475057259383</v>
      </c>
    </row>
    <row r="32" spans="1:16" ht="13.2">
      <c r="B32" s="73" t="s">
        <v>125</v>
      </c>
      <c r="C32" s="20">
        <f>C24</f>
        <v>7.0000000000000001E-3</v>
      </c>
      <c r="D32" s="20">
        <f t="shared" ref="D32:I32" si="5">C19</f>
        <v>6.4999999999999997E-3</v>
      </c>
      <c r="E32" s="20">
        <f t="shared" si="5"/>
        <v>9.1000000000000004E-3</v>
      </c>
      <c r="F32" s="20">
        <f t="shared" si="5"/>
        <v>3.2099999999999997E-2</v>
      </c>
      <c r="G32" s="20">
        <f t="shared" si="5"/>
        <v>3.0200000000000001E-2</v>
      </c>
      <c r="H32" s="20">
        <f t="shared" si="5"/>
        <v>2.9000000000000001E-2</v>
      </c>
      <c r="I32" s="20">
        <f t="shared" si="5"/>
        <v>9.4999999999999998E-3</v>
      </c>
      <c r="J32" s="55">
        <f t="shared" ca="1" si="3"/>
        <v>7.0503537369243831E-3</v>
      </c>
    </row>
    <row r="33" spans="1:10" ht="13.2">
      <c r="B33" s="73" t="s">
        <v>126</v>
      </c>
      <c r="C33" s="20">
        <f>D24</f>
        <v>8.3000000000000001E-3</v>
      </c>
      <c r="D33" s="20">
        <f t="shared" ref="D33:I33" si="6">K19</f>
        <v>3.8E-3</v>
      </c>
      <c r="E33" s="20">
        <f t="shared" si="6"/>
        <v>2.8999999999999998E-3</v>
      </c>
      <c r="F33" s="20">
        <f t="shared" si="6"/>
        <v>6.1000000000000004E-3</v>
      </c>
      <c r="G33" s="20">
        <f t="shared" si="6"/>
        <v>1.9199999999999998E-2</v>
      </c>
      <c r="H33" s="20">
        <f t="shared" si="6"/>
        <v>2.1399999999999999E-2</v>
      </c>
      <c r="I33" s="20">
        <f t="shared" si="6"/>
        <v>4.3099999999999999E-2</v>
      </c>
      <c r="J33" s="55">
        <f t="shared" ca="1" si="3"/>
        <v>3.6451722768023093E-3</v>
      </c>
    </row>
    <row r="34" spans="1:10" ht="13.2">
      <c r="B34" s="73" t="s">
        <v>140</v>
      </c>
      <c r="C34" s="20">
        <f t="shared" ref="C34:I34" si="7">C32*C$31</f>
        <v>2.8000000000000003</v>
      </c>
      <c r="D34" s="20">
        <f t="shared" si="7"/>
        <v>1.2532000000000001</v>
      </c>
      <c r="E34" s="20">
        <f t="shared" si="7"/>
        <v>1.3468</v>
      </c>
      <c r="F34" s="20">
        <f t="shared" si="7"/>
        <v>0</v>
      </c>
      <c r="G34" s="20">
        <f t="shared" si="7"/>
        <v>0</v>
      </c>
      <c r="H34" s="20">
        <f t="shared" si="7"/>
        <v>0</v>
      </c>
      <c r="I34" s="55">
        <f t="shared" si="7"/>
        <v>0.89155862068965508</v>
      </c>
      <c r="J34" s="55">
        <f t="shared" ca="1" si="3"/>
        <v>1.2846852524984105</v>
      </c>
    </row>
    <row r="35" spans="1:10" ht="13.2">
      <c r="B35" s="73" t="s">
        <v>141</v>
      </c>
      <c r="C35" s="20">
        <f t="shared" ref="C35:I35" si="8">C33*C$31</f>
        <v>3.32</v>
      </c>
      <c r="D35" s="55">
        <f t="shared" si="8"/>
        <v>0.73264000000000007</v>
      </c>
      <c r="E35" s="20">
        <f t="shared" si="8"/>
        <v>0.42919999999999997</v>
      </c>
      <c r="F35" s="20">
        <f t="shared" si="8"/>
        <v>0</v>
      </c>
      <c r="G35" s="20">
        <f t="shared" si="8"/>
        <v>0</v>
      </c>
      <c r="H35" s="20">
        <f t="shared" si="8"/>
        <v>0</v>
      </c>
      <c r="I35" s="75">
        <f t="shared" si="8"/>
        <v>4.044860689655172</v>
      </c>
      <c r="J35" s="55">
        <f t="shared" ca="1" si="3"/>
        <v>0.68860973554827365</v>
      </c>
    </row>
    <row r="36" spans="1:10" ht="13.2">
      <c r="C36" s="20"/>
      <c r="D36" s="20"/>
    </row>
    <row r="37" spans="1:10" ht="14.4">
      <c r="A37" s="302" t="s">
        <v>142</v>
      </c>
      <c r="B37" s="285"/>
      <c r="C37" s="285"/>
      <c r="D37" s="285"/>
      <c r="E37" s="285"/>
      <c r="F37" s="48"/>
      <c r="G37" s="48"/>
      <c r="H37" s="48"/>
    </row>
    <row r="38" spans="1:10" ht="14.4">
      <c r="A38" s="49"/>
      <c r="B38" s="48"/>
      <c r="C38" s="48" t="s">
        <v>143</v>
      </c>
      <c r="D38" s="48"/>
      <c r="E38" s="48"/>
      <c r="F38" s="48"/>
      <c r="G38" s="48"/>
      <c r="H38" s="48"/>
    </row>
    <row r="39" spans="1:10" ht="14.4">
      <c r="A39" s="50"/>
      <c r="B39" s="76" t="s">
        <v>144</v>
      </c>
      <c r="C39" s="77" t="s">
        <v>145</v>
      </c>
      <c r="D39" s="77" t="s">
        <v>146</v>
      </c>
      <c r="E39" s="77" t="s">
        <v>147</v>
      </c>
      <c r="F39" s="78" t="s">
        <v>148</v>
      </c>
      <c r="G39" s="305"/>
      <c r="H39" s="306"/>
    </row>
    <row r="40" spans="1:10" ht="14.4">
      <c r="A40" s="50"/>
      <c r="B40" s="79" t="s">
        <v>14</v>
      </c>
      <c r="C40" s="80">
        <v>52.91</v>
      </c>
      <c r="D40" s="81">
        <v>4.7000000000000002E-3</v>
      </c>
      <c r="E40" s="81">
        <v>1E-4</v>
      </c>
      <c r="F40" s="82">
        <v>1.0369999999999999E-3</v>
      </c>
      <c r="G40" s="299" t="s">
        <v>149</v>
      </c>
      <c r="H40" s="300"/>
    </row>
    <row r="41" spans="1:10" ht="13.2">
      <c r="C41" s="20"/>
      <c r="D41" s="20"/>
    </row>
    <row r="42" spans="1:10" ht="14.4">
      <c r="B42" s="83"/>
      <c r="C42" s="301" t="s">
        <v>150</v>
      </c>
      <c r="D42" s="285"/>
      <c r="E42" s="285"/>
      <c r="F42" s="84" t="s">
        <v>151</v>
      </c>
    </row>
    <row r="43" spans="1:10" ht="14.4">
      <c r="B43" s="83" t="s">
        <v>152</v>
      </c>
      <c r="C43" s="84" t="s">
        <v>145</v>
      </c>
      <c r="D43" s="84" t="s">
        <v>146</v>
      </c>
      <c r="E43" s="84" t="s">
        <v>147</v>
      </c>
      <c r="F43" s="84" t="s">
        <v>153</v>
      </c>
      <c r="H43" s="20" t="s">
        <v>154</v>
      </c>
    </row>
    <row r="44" spans="1:10" ht="14.4">
      <c r="B44" s="67" t="s">
        <v>155</v>
      </c>
      <c r="C44" s="85">
        <v>1046.1300000000001</v>
      </c>
      <c r="D44" s="86">
        <v>9.5000000000000001E-2</v>
      </c>
      <c r="E44" s="86">
        <v>1.4E-2</v>
      </c>
      <c r="F44" s="87">
        <v>1052.8</v>
      </c>
      <c r="H44" s="20">
        <v>4.53592E-4</v>
      </c>
    </row>
    <row r="45" spans="1:10" ht="13.2">
      <c r="C45" s="20"/>
      <c r="D45" s="20"/>
    </row>
    <row r="46" spans="1:10" ht="14.4">
      <c r="B46" s="67" t="s">
        <v>156</v>
      </c>
      <c r="C46" s="88">
        <v>1</v>
      </c>
    </row>
    <row r="47" spans="1:10" ht="14.4">
      <c r="B47" s="89" t="s">
        <v>157</v>
      </c>
      <c r="C47" s="90">
        <v>30</v>
      </c>
      <c r="D47" s="20"/>
    </row>
    <row r="48" spans="1:10" ht="14.4">
      <c r="B48" s="89" t="s">
        <v>158</v>
      </c>
      <c r="C48" s="90">
        <v>273</v>
      </c>
      <c r="D48" s="20"/>
    </row>
    <row r="49" spans="2:34" ht="13.2">
      <c r="C49" s="20"/>
      <c r="D49" s="20"/>
    </row>
    <row r="50" spans="2:34" ht="13.2">
      <c r="C50" s="20"/>
      <c r="D50" s="20"/>
      <c r="E50" s="20">
        <v>2021</v>
      </c>
      <c r="F50" s="20">
        <v>2022</v>
      </c>
      <c r="G50" s="20">
        <v>2023</v>
      </c>
      <c r="H50" s="20">
        <v>2024</v>
      </c>
      <c r="I50" s="20">
        <v>2025</v>
      </c>
      <c r="J50" s="20">
        <v>2026</v>
      </c>
      <c r="K50" s="20">
        <v>2027</v>
      </c>
      <c r="L50" s="20">
        <v>2028</v>
      </c>
      <c r="M50" s="20">
        <v>2029</v>
      </c>
      <c r="N50" s="20">
        <v>2030</v>
      </c>
      <c r="O50" s="20">
        <v>2031</v>
      </c>
      <c r="P50" s="20">
        <v>2032</v>
      </c>
      <c r="Q50" s="20">
        <v>2033</v>
      </c>
      <c r="R50" s="20">
        <v>2034</v>
      </c>
      <c r="S50" s="20">
        <v>2035</v>
      </c>
      <c r="T50" s="20">
        <v>2036</v>
      </c>
      <c r="U50" s="20">
        <v>2037</v>
      </c>
      <c r="V50" s="20">
        <v>2038</v>
      </c>
      <c r="W50" s="20">
        <v>2039</v>
      </c>
      <c r="X50" s="20">
        <v>2040</v>
      </c>
      <c r="Y50" s="20">
        <v>2041</v>
      </c>
      <c r="Z50" s="20">
        <v>2042</v>
      </c>
      <c r="AA50" s="20">
        <v>2043</v>
      </c>
      <c r="AB50" s="20">
        <v>2044</v>
      </c>
      <c r="AC50" s="20">
        <v>2045</v>
      </c>
      <c r="AD50" s="20">
        <v>2046</v>
      </c>
      <c r="AE50" s="20">
        <v>2047</v>
      </c>
      <c r="AF50" s="20">
        <v>2048</v>
      </c>
      <c r="AG50" s="20">
        <v>2049</v>
      </c>
      <c r="AH50" s="20">
        <v>2050</v>
      </c>
    </row>
    <row r="51" spans="2:34" ht="13.2">
      <c r="C51" s="20" t="s">
        <v>0</v>
      </c>
      <c r="D51" s="20" t="s">
        <v>117</v>
      </c>
      <c r="E51" s="75">
        <f>F44*tonne_per_lb*1000</f>
        <v>477.54165760000001</v>
      </c>
      <c r="F51" s="75">
        <f t="shared" ref="F51:AH51" si="9">E51*(1+F6)</f>
        <v>419.9688324009104</v>
      </c>
      <c r="G51" s="75">
        <f t="shared" si="9"/>
        <v>372.41890293806125</v>
      </c>
      <c r="H51" s="75">
        <f t="shared" si="9"/>
        <v>370.33980475911522</v>
      </c>
      <c r="I51" s="75">
        <f t="shared" si="9"/>
        <v>387.86071398528259</v>
      </c>
      <c r="J51" s="75">
        <f t="shared" si="9"/>
        <v>375.63864946495352</v>
      </c>
      <c r="K51" s="75">
        <f t="shared" si="9"/>
        <v>362.51777361632895</v>
      </c>
      <c r="L51" s="75">
        <f t="shared" si="9"/>
        <v>357.58372405894568</v>
      </c>
      <c r="M51" s="75">
        <f t="shared" si="9"/>
        <v>365.68387424511133</v>
      </c>
      <c r="N51" s="75">
        <f t="shared" si="9"/>
        <v>375.94116135052184</v>
      </c>
      <c r="O51" s="75">
        <f t="shared" si="9"/>
        <v>382.77795173186377</v>
      </c>
      <c r="P51" s="75">
        <f t="shared" si="9"/>
        <v>391.29471997952186</v>
      </c>
      <c r="Q51" s="75">
        <f t="shared" si="9"/>
        <v>397.88741031696725</v>
      </c>
      <c r="R51" s="75">
        <f t="shared" si="9"/>
        <v>403.56671402655633</v>
      </c>
      <c r="S51" s="75">
        <f t="shared" si="9"/>
        <v>401.20778690671023</v>
      </c>
      <c r="T51" s="75">
        <f t="shared" si="9"/>
        <v>397.68039431889616</v>
      </c>
      <c r="U51" s="75">
        <f t="shared" si="9"/>
        <v>393.99730227845197</v>
      </c>
      <c r="V51" s="75">
        <f t="shared" si="9"/>
        <v>388.13575134655434</v>
      </c>
      <c r="W51" s="75">
        <f t="shared" si="9"/>
        <v>383.50951304548903</v>
      </c>
      <c r="X51" s="75">
        <f t="shared" si="9"/>
        <v>378.85786884955445</v>
      </c>
      <c r="Y51" s="75">
        <f t="shared" si="9"/>
        <v>375.48693210776651</v>
      </c>
      <c r="Z51" s="75">
        <f t="shared" si="9"/>
        <v>371.93739574403526</v>
      </c>
      <c r="AA51" s="75">
        <f t="shared" si="9"/>
        <v>369.53408203358322</v>
      </c>
      <c r="AB51" s="75">
        <f t="shared" si="9"/>
        <v>365.94167631329645</v>
      </c>
      <c r="AC51" s="75">
        <f t="shared" si="9"/>
        <v>364.09336650176061</v>
      </c>
      <c r="AD51" s="75">
        <f t="shared" si="9"/>
        <v>360.25055988144737</v>
      </c>
      <c r="AE51" s="75">
        <f t="shared" si="9"/>
        <v>356.97088107509688</v>
      </c>
      <c r="AF51" s="75">
        <f t="shared" si="9"/>
        <v>355.48444855837477</v>
      </c>
      <c r="AG51" s="75">
        <f t="shared" si="9"/>
        <v>351.39198751888853</v>
      </c>
      <c r="AH51" s="75">
        <f t="shared" si="9"/>
        <v>346.87632125415763</v>
      </c>
    </row>
    <row r="52" spans="2:34" ht="13.2">
      <c r="C52" s="2" t="s">
        <v>14</v>
      </c>
      <c r="D52" s="20" t="s">
        <v>159</v>
      </c>
      <c r="E52" s="75">
        <f>(C40+(D40*C47)+(E40*C48))/1000</f>
        <v>5.3078299999999995E-2</v>
      </c>
      <c r="F52" s="75">
        <f t="shared" ref="F52:AH52" si="10">E52</f>
        <v>5.3078299999999995E-2</v>
      </c>
      <c r="G52" s="75">
        <f t="shared" si="10"/>
        <v>5.3078299999999995E-2</v>
      </c>
      <c r="H52" s="75">
        <f t="shared" si="10"/>
        <v>5.3078299999999995E-2</v>
      </c>
      <c r="I52" s="75">
        <f t="shared" si="10"/>
        <v>5.3078299999999995E-2</v>
      </c>
      <c r="J52" s="75">
        <f t="shared" si="10"/>
        <v>5.3078299999999995E-2</v>
      </c>
      <c r="K52" s="75">
        <f t="shared" si="10"/>
        <v>5.3078299999999995E-2</v>
      </c>
      <c r="L52" s="75">
        <f t="shared" si="10"/>
        <v>5.3078299999999995E-2</v>
      </c>
      <c r="M52" s="75">
        <f t="shared" si="10"/>
        <v>5.3078299999999995E-2</v>
      </c>
      <c r="N52" s="75">
        <f t="shared" si="10"/>
        <v>5.3078299999999995E-2</v>
      </c>
      <c r="O52" s="75">
        <f t="shared" si="10"/>
        <v>5.3078299999999995E-2</v>
      </c>
      <c r="P52" s="75">
        <f t="shared" si="10"/>
        <v>5.3078299999999995E-2</v>
      </c>
      <c r="Q52" s="75">
        <f t="shared" si="10"/>
        <v>5.3078299999999995E-2</v>
      </c>
      <c r="R52" s="75">
        <f t="shared" si="10"/>
        <v>5.3078299999999995E-2</v>
      </c>
      <c r="S52" s="75">
        <f t="shared" si="10"/>
        <v>5.3078299999999995E-2</v>
      </c>
      <c r="T52" s="75">
        <f t="shared" si="10"/>
        <v>5.3078299999999995E-2</v>
      </c>
      <c r="U52" s="75">
        <f t="shared" si="10"/>
        <v>5.3078299999999995E-2</v>
      </c>
      <c r="V52" s="75">
        <f t="shared" si="10"/>
        <v>5.3078299999999995E-2</v>
      </c>
      <c r="W52" s="75">
        <f t="shared" si="10"/>
        <v>5.3078299999999995E-2</v>
      </c>
      <c r="X52" s="75">
        <f t="shared" si="10"/>
        <v>5.3078299999999995E-2</v>
      </c>
      <c r="Y52" s="75">
        <f t="shared" si="10"/>
        <v>5.3078299999999995E-2</v>
      </c>
      <c r="Z52" s="75">
        <f t="shared" si="10"/>
        <v>5.3078299999999995E-2</v>
      </c>
      <c r="AA52" s="75">
        <f t="shared" si="10"/>
        <v>5.3078299999999995E-2</v>
      </c>
      <c r="AB52" s="75">
        <f t="shared" si="10"/>
        <v>5.3078299999999995E-2</v>
      </c>
      <c r="AC52" s="75">
        <f t="shared" si="10"/>
        <v>5.3078299999999995E-2</v>
      </c>
      <c r="AD52" s="75">
        <f t="shared" si="10"/>
        <v>5.3078299999999995E-2</v>
      </c>
      <c r="AE52" s="75">
        <f t="shared" si="10"/>
        <v>5.3078299999999995E-2</v>
      </c>
      <c r="AF52" s="75">
        <f t="shared" si="10"/>
        <v>5.3078299999999995E-2</v>
      </c>
      <c r="AG52" s="75">
        <f t="shared" si="10"/>
        <v>5.3078299999999995E-2</v>
      </c>
      <c r="AH52" s="75">
        <f t="shared" si="10"/>
        <v>5.3078299999999995E-2</v>
      </c>
    </row>
    <row r="53" spans="2:34" ht="13.2">
      <c r="C53" s="2" t="s">
        <v>46</v>
      </c>
      <c r="D53" s="20" t="s">
        <v>160</v>
      </c>
      <c r="E53" s="25">
        <f ca="1">((D11)+(($C$47*J34)+($C$48*J35))/1000)/1000</f>
        <v>7.0466531015379627E-2</v>
      </c>
      <c r="F53" s="25">
        <f t="shared" ref="F53:AH53" ca="1" si="11">E53</f>
        <v>7.0466531015379627E-2</v>
      </c>
      <c r="G53" s="25">
        <f t="shared" ca="1" si="11"/>
        <v>7.0466531015379627E-2</v>
      </c>
      <c r="H53" s="25">
        <f t="shared" ca="1" si="11"/>
        <v>7.0466531015379627E-2</v>
      </c>
      <c r="I53" s="25">
        <f t="shared" ca="1" si="11"/>
        <v>7.0466531015379627E-2</v>
      </c>
      <c r="J53" s="25">
        <f t="shared" ca="1" si="11"/>
        <v>7.0466531015379627E-2</v>
      </c>
      <c r="K53" s="25">
        <f t="shared" ca="1" si="11"/>
        <v>7.0466531015379627E-2</v>
      </c>
      <c r="L53" s="25">
        <f t="shared" ca="1" si="11"/>
        <v>7.0466531015379627E-2</v>
      </c>
      <c r="M53" s="25">
        <f t="shared" ca="1" si="11"/>
        <v>7.0466531015379627E-2</v>
      </c>
      <c r="N53" s="25">
        <f t="shared" ca="1" si="11"/>
        <v>7.0466531015379627E-2</v>
      </c>
      <c r="O53" s="25">
        <f t="shared" ca="1" si="11"/>
        <v>7.0466531015379627E-2</v>
      </c>
      <c r="P53" s="25">
        <f t="shared" ca="1" si="11"/>
        <v>7.0466531015379627E-2</v>
      </c>
      <c r="Q53" s="25">
        <f t="shared" ca="1" si="11"/>
        <v>7.0466531015379627E-2</v>
      </c>
      <c r="R53" s="25">
        <f t="shared" ca="1" si="11"/>
        <v>7.0466531015379627E-2</v>
      </c>
      <c r="S53" s="25">
        <f t="shared" ca="1" si="11"/>
        <v>7.0466531015379627E-2</v>
      </c>
      <c r="T53" s="25">
        <f t="shared" ca="1" si="11"/>
        <v>7.0466531015379627E-2</v>
      </c>
      <c r="U53" s="25">
        <f t="shared" ca="1" si="11"/>
        <v>7.0466531015379627E-2</v>
      </c>
      <c r="V53" s="25">
        <f t="shared" ca="1" si="11"/>
        <v>7.0466531015379627E-2</v>
      </c>
      <c r="W53" s="25">
        <f t="shared" ca="1" si="11"/>
        <v>7.0466531015379627E-2</v>
      </c>
      <c r="X53" s="25">
        <f t="shared" ca="1" si="11"/>
        <v>7.0466531015379627E-2</v>
      </c>
      <c r="Y53" s="25">
        <f t="shared" ca="1" si="11"/>
        <v>7.0466531015379627E-2</v>
      </c>
      <c r="Z53" s="25">
        <f t="shared" ca="1" si="11"/>
        <v>7.0466531015379627E-2</v>
      </c>
      <c r="AA53" s="25">
        <f t="shared" ca="1" si="11"/>
        <v>7.0466531015379627E-2</v>
      </c>
      <c r="AB53" s="25">
        <f t="shared" ca="1" si="11"/>
        <v>7.0466531015379627E-2</v>
      </c>
      <c r="AC53" s="25">
        <f t="shared" ca="1" si="11"/>
        <v>7.0466531015379627E-2</v>
      </c>
      <c r="AD53" s="25">
        <f t="shared" ca="1" si="11"/>
        <v>7.0466531015379627E-2</v>
      </c>
      <c r="AE53" s="25">
        <f t="shared" ca="1" si="11"/>
        <v>7.0466531015379627E-2</v>
      </c>
      <c r="AF53" s="25">
        <f t="shared" ca="1" si="11"/>
        <v>7.0466531015379627E-2</v>
      </c>
      <c r="AG53" s="25">
        <f t="shared" ca="1" si="11"/>
        <v>7.0466531015379627E-2</v>
      </c>
      <c r="AH53" s="25">
        <f t="shared" ca="1" si="11"/>
        <v>7.0466531015379627E-2</v>
      </c>
    </row>
    <row r="54" spans="2:34" ht="13.2">
      <c r="C54" s="2" t="s">
        <v>51</v>
      </c>
      <c r="D54" s="20" t="s">
        <v>160</v>
      </c>
      <c r="E54" s="25">
        <f>((D12)+(($C$47*I34)+($C$48*I35))/1000)/1000</f>
        <v>7.5065476485517243E-2</v>
      </c>
      <c r="F54" s="25">
        <f t="shared" ref="F54:AH54" si="12">E54</f>
        <v>7.5065476485517243E-2</v>
      </c>
      <c r="G54" s="25">
        <f t="shared" si="12"/>
        <v>7.5065476485517243E-2</v>
      </c>
      <c r="H54" s="25">
        <f t="shared" si="12"/>
        <v>7.5065476485517243E-2</v>
      </c>
      <c r="I54" s="25">
        <f t="shared" si="12"/>
        <v>7.5065476485517243E-2</v>
      </c>
      <c r="J54" s="25">
        <f t="shared" si="12"/>
        <v>7.5065476485517243E-2</v>
      </c>
      <c r="K54" s="25">
        <f t="shared" si="12"/>
        <v>7.5065476485517243E-2</v>
      </c>
      <c r="L54" s="25">
        <f t="shared" si="12"/>
        <v>7.5065476485517243E-2</v>
      </c>
      <c r="M54" s="25">
        <f t="shared" si="12"/>
        <v>7.5065476485517243E-2</v>
      </c>
      <c r="N54" s="25">
        <f t="shared" si="12"/>
        <v>7.5065476485517243E-2</v>
      </c>
      <c r="O54" s="25">
        <f t="shared" si="12"/>
        <v>7.5065476485517243E-2</v>
      </c>
      <c r="P54" s="25">
        <f t="shared" si="12"/>
        <v>7.5065476485517243E-2</v>
      </c>
      <c r="Q54" s="25">
        <f t="shared" si="12"/>
        <v>7.5065476485517243E-2</v>
      </c>
      <c r="R54" s="25">
        <f t="shared" si="12"/>
        <v>7.5065476485517243E-2</v>
      </c>
      <c r="S54" s="25">
        <f t="shared" si="12"/>
        <v>7.5065476485517243E-2</v>
      </c>
      <c r="T54" s="25">
        <f t="shared" si="12"/>
        <v>7.5065476485517243E-2</v>
      </c>
      <c r="U54" s="25">
        <f t="shared" si="12"/>
        <v>7.5065476485517243E-2</v>
      </c>
      <c r="V54" s="25">
        <f t="shared" si="12"/>
        <v>7.5065476485517243E-2</v>
      </c>
      <c r="W54" s="25">
        <f t="shared" si="12"/>
        <v>7.5065476485517243E-2</v>
      </c>
      <c r="X54" s="25">
        <f t="shared" si="12"/>
        <v>7.5065476485517243E-2</v>
      </c>
      <c r="Y54" s="25">
        <f t="shared" si="12"/>
        <v>7.5065476485517243E-2</v>
      </c>
      <c r="Z54" s="25">
        <f t="shared" si="12"/>
        <v>7.5065476485517243E-2</v>
      </c>
      <c r="AA54" s="25">
        <f t="shared" si="12"/>
        <v>7.5065476485517243E-2</v>
      </c>
      <c r="AB54" s="25">
        <f t="shared" si="12"/>
        <v>7.5065476485517243E-2</v>
      </c>
      <c r="AC54" s="25">
        <f t="shared" si="12"/>
        <v>7.5065476485517243E-2</v>
      </c>
      <c r="AD54" s="25">
        <f t="shared" si="12"/>
        <v>7.5065476485517243E-2</v>
      </c>
      <c r="AE54" s="25">
        <f t="shared" si="12"/>
        <v>7.5065476485517243E-2</v>
      </c>
      <c r="AF54" s="25">
        <f t="shared" si="12"/>
        <v>7.5065476485517243E-2</v>
      </c>
      <c r="AG54" s="25">
        <f t="shared" si="12"/>
        <v>7.5065476485517243E-2</v>
      </c>
      <c r="AH54" s="25">
        <f t="shared" si="12"/>
        <v>7.5065476485517243E-2</v>
      </c>
    </row>
    <row r="55" spans="2:34" ht="13.2">
      <c r="C55" s="20" t="s">
        <v>0</v>
      </c>
      <c r="D55" s="20" t="s">
        <v>159</v>
      </c>
      <c r="E55" s="75">
        <f t="shared" ref="E55:AH55" si="13">E51/$B$58</f>
        <v>0.13995371162965178</v>
      </c>
      <c r="F55" s="75">
        <f t="shared" si="13"/>
        <v>0.12308077405994784</v>
      </c>
      <c r="G55" s="75">
        <f t="shared" si="13"/>
        <v>0.109145258675805</v>
      </c>
      <c r="H55" s="75">
        <f t="shared" si="13"/>
        <v>0.10853593485587204</v>
      </c>
      <c r="I55" s="75">
        <f t="shared" si="13"/>
        <v>0.11367080893084182</v>
      </c>
      <c r="J55" s="75">
        <f t="shared" si="13"/>
        <v>0.11008887368776003</v>
      </c>
      <c r="K55" s="75">
        <f t="shared" si="13"/>
        <v>0.10624352272073508</v>
      </c>
      <c r="L55" s="75">
        <f t="shared" si="13"/>
        <v>0.10479749484456842</v>
      </c>
      <c r="M55" s="75">
        <f t="shared" si="13"/>
        <v>0.10717141566439575</v>
      </c>
      <c r="N55" s="75">
        <f t="shared" si="13"/>
        <v>0.11017753121223685</v>
      </c>
      <c r="O55" s="75">
        <f t="shared" si="13"/>
        <v>0.11218119764483983</v>
      </c>
      <c r="P55" s="75">
        <f t="shared" si="13"/>
        <v>0.11467721722424105</v>
      </c>
      <c r="Q55" s="75">
        <f t="shared" si="13"/>
        <v>0.11660934496151015</v>
      </c>
      <c r="R55" s="75">
        <f t="shared" si="13"/>
        <v>0.11827378537415122</v>
      </c>
      <c r="S55" s="75">
        <f t="shared" si="13"/>
        <v>0.11758245174779178</v>
      </c>
      <c r="T55" s="75">
        <f t="shared" si="13"/>
        <v>0.11654867453237445</v>
      </c>
      <c r="U55" s="75">
        <f t="shared" si="13"/>
        <v>0.11546926628990956</v>
      </c>
      <c r="V55" s="75">
        <f t="shared" si="13"/>
        <v>0.1137514144632267</v>
      </c>
      <c r="W55" s="75">
        <f t="shared" si="13"/>
        <v>0.11239559720453705</v>
      </c>
      <c r="X55" s="75">
        <f t="shared" si="13"/>
        <v>0.11103233420948568</v>
      </c>
      <c r="Y55" s="75">
        <f t="shared" si="13"/>
        <v>0.11004440969824407</v>
      </c>
      <c r="Z55" s="75">
        <f t="shared" si="13"/>
        <v>0.10900414277961493</v>
      </c>
      <c r="AA55" s="75">
        <f t="shared" si="13"/>
        <v>0.10829980072141918</v>
      </c>
      <c r="AB55" s="75">
        <f t="shared" si="13"/>
        <v>0.1072469700285734</v>
      </c>
      <c r="AC55" s="75">
        <f t="shared" si="13"/>
        <v>0.10670528363483346</v>
      </c>
      <c r="AD55" s="75">
        <f t="shared" si="13"/>
        <v>0.10557906764712098</v>
      </c>
      <c r="AE55" s="75">
        <f t="shared" si="13"/>
        <v>0.10461788820948054</v>
      </c>
      <c r="AF55" s="75">
        <f t="shared" si="13"/>
        <v>0.10418225763256338</v>
      </c>
      <c r="AG55" s="75">
        <f t="shared" si="13"/>
        <v>0.1029828751220315</v>
      </c>
      <c r="AH55" s="75">
        <f t="shared" si="13"/>
        <v>0.10165946334387148</v>
      </c>
    </row>
    <row r="56" spans="2:34" ht="13.2">
      <c r="C56" s="20" t="s">
        <v>161</v>
      </c>
      <c r="D56" s="20" t="s">
        <v>159</v>
      </c>
      <c r="E56" s="20">
        <f>((D40*C47)+(E40*C48))/1000</f>
        <v>1.683E-4</v>
      </c>
      <c r="F56" s="20">
        <f t="shared" ref="F56:AH56" si="14">E56</f>
        <v>1.683E-4</v>
      </c>
      <c r="G56" s="20">
        <f t="shared" si="14"/>
        <v>1.683E-4</v>
      </c>
      <c r="H56" s="20">
        <f t="shared" si="14"/>
        <v>1.683E-4</v>
      </c>
      <c r="I56" s="20">
        <f t="shared" si="14"/>
        <v>1.683E-4</v>
      </c>
      <c r="J56" s="20">
        <f t="shared" si="14"/>
        <v>1.683E-4</v>
      </c>
      <c r="K56" s="20">
        <f t="shared" si="14"/>
        <v>1.683E-4</v>
      </c>
      <c r="L56" s="20">
        <f t="shared" si="14"/>
        <v>1.683E-4</v>
      </c>
      <c r="M56" s="20">
        <f t="shared" si="14"/>
        <v>1.683E-4</v>
      </c>
      <c r="N56" s="20">
        <f t="shared" si="14"/>
        <v>1.683E-4</v>
      </c>
      <c r="O56" s="20">
        <f t="shared" si="14"/>
        <v>1.683E-4</v>
      </c>
      <c r="P56" s="20">
        <f t="shared" si="14"/>
        <v>1.683E-4</v>
      </c>
      <c r="Q56" s="20">
        <f t="shared" si="14"/>
        <v>1.683E-4</v>
      </c>
      <c r="R56" s="20">
        <f t="shared" si="14"/>
        <v>1.683E-4</v>
      </c>
      <c r="S56" s="20">
        <f t="shared" si="14"/>
        <v>1.683E-4</v>
      </c>
      <c r="T56" s="20">
        <f t="shared" si="14"/>
        <v>1.683E-4</v>
      </c>
      <c r="U56" s="20">
        <f t="shared" si="14"/>
        <v>1.683E-4</v>
      </c>
      <c r="V56" s="20">
        <f t="shared" si="14"/>
        <v>1.683E-4</v>
      </c>
      <c r="W56" s="20">
        <f t="shared" si="14"/>
        <v>1.683E-4</v>
      </c>
      <c r="X56" s="20">
        <f t="shared" si="14"/>
        <v>1.683E-4</v>
      </c>
      <c r="Y56" s="20">
        <f t="shared" si="14"/>
        <v>1.683E-4</v>
      </c>
      <c r="Z56" s="20">
        <f t="shared" si="14"/>
        <v>1.683E-4</v>
      </c>
      <c r="AA56" s="20">
        <f t="shared" si="14"/>
        <v>1.683E-4</v>
      </c>
      <c r="AB56" s="20">
        <f t="shared" si="14"/>
        <v>1.683E-4</v>
      </c>
      <c r="AC56" s="20">
        <f t="shared" si="14"/>
        <v>1.683E-4</v>
      </c>
      <c r="AD56" s="20">
        <f t="shared" si="14"/>
        <v>1.683E-4</v>
      </c>
      <c r="AE56" s="20">
        <f t="shared" si="14"/>
        <v>1.683E-4</v>
      </c>
      <c r="AF56" s="20">
        <f t="shared" si="14"/>
        <v>1.683E-4</v>
      </c>
      <c r="AG56" s="20">
        <f t="shared" si="14"/>
        <v>1.683E-4</v>
      </c>
      <c r="AH56" s="20">
        <f t="shared" si="14"/>
        <v>1.683E-4</v>
      </c>
    </row>
    <row r="58" spans="2:34" ht="13.2">
      <c r="B58" s="20">
        <v>3412.14</v>
      </c>
      <c r="C58" s="20" t="s">
        <v>162</v>
      </c>
    </row>
  </sheetData>
  <mergeCells count="7">
    <mergeCell ref="G40:H40"/>
    <mergeCell ref="C42:E42"/>
    <mergeCell ref="A14:D14"/>
    <mergeCell ref="K16:L16"/>
    <mergeCell ref="A21:B21"/>
    <mergeCell ref="A37:E37"/>
    <mergeCell ref="G39:H39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59999389629810485"/>
    <outlinePr summaryBelow="0" summaryRight="0"/>
  </sheetPr>
  <dimension ref="A1:AF62"/>
  <sheetViews>
    <sheetView workbookViewId="0"/>
  </sheetViews>
  <sheetFormatPr defaultColWidth="12.5546875" defaultRowHeight="15.75" customHeight="1"/>
  <sheetData>
    <row r="1" spans="1:32" ht="15.75" customHeight="1">
      <c r="A1" s="91" t="s">
        <v>163</v>
      </c>
    </row>
    <row r="2" spans="1:32" ht="13.2">
      <c r="A2" s="20" t="s">
        <v>164</v>
      </c>
    </row>
    <row r="3" spans="1:32" ht="13.2">
      <c r="B3" s="20" t="s">
        <v>165</v>
      </c>
      <c r="C3" s="20" t="s">
        <v>166</v>
      </c>
      <c r="D3" s="20" t="s">
        <v>167</v>
      </c>
      <c r="E3" s="20" t="s">
        <v>168</v>
      </c>
      <c r="F3" s="20" t="s">
        <v>169</v>
      </c>
      <c r="G3" s="20" t="s">
        <v>170</v>
      </c>
      <c r="H3" s="20" t="s">
        <v>171</v>
      </c>
      <c r="I3" s="20" t="s">
        <v>172</v>
      </c>
      <c r="J3" s="20" t="s">
        <v>173</v>
      </c>
      <c r="K3" s="20" t="s">
        <v>174</v>
      </c>
      <c r="L3" s="20" t="s">
        <v>175</v>
      </c>
      <c r="M3" s="20" t="s">
        <v>176</v>
      </c>
      <c r="N3" s="20" t="s">
        <v>177</v>
      </c>
      <c r="O3" s="20" t="s">
        <v>178</v>
      </c>
      <c r="P3" s="20" t="s">
        <v>179</v>
      </c>
      <c r="Q3" s="20" t="s">
        <v>180</v>
      </c>
      <c r="R3" s="20" t="s">
        <v>181</v>
      </c>
      <c r="S3" s="20" t="s">
        <v>182</v>
      </c>
      <c r="T3" s="20" t="s">
        <v>183</v>
      </c>
      <c r="U3" s="20">
        <v>2019</v>
      </c>
      <c r="V3" s="20">
        <v>2020</v>
      </c>
      <c r="W3" s="20" t="s">
        <v>184</v>
      </c>
      <c r="X3" s="20" t="s">
        <v>185</v>
      </c>
      <c r="Y3" s="20" t="s">
        <v>186</v>
      </c>
      <c r="Z3" s="20" t="s">
        <v>187</v>
      </c>
      <c r="AA3" s="20" t="s">
        <v>188</v>
      </c>
      <c r="AB3" s="20" t="s">
        <v>189</v>
      </c>
      <c r="AC3" s="20" t="s">
        <v>190</v>
      </c>
      <c r="AD3" s="20" t="s">
        <v>191</v>
      </c>
      <c r="AE3" s="20" t="s">
        <v>192</v>
      </c>
      <c r="AF3" s="20" t="s">
        <v>193</v>
      </c>
    </row>
    <row r="4" spans="1:32" ht="13.2">
      <c r="A4" s="20" t="s">
        <v>194</v>
      </c>
    </row>
    <row r="5" spans="1:32" ht="13.2">
      <c r="A5" s="20" t="s">
        <v>195</v>
      </c>
    </row>
    <row r="6" spans="1:32" ht="13.2">
      <c r="A6" s="20" t="s">
        <v>196</v>
      </c>
      <c r="B6" s="20">
        <v>1.9530000000000001</v>
      </c>
      <c r="C6" s="20">
        <v>1.861</v>
      </c>
      <c r="D6" s="20">
        <v>1.7110000000000001</v>
      </c>
      <c r="E6" s="20">
        <v>1.603</v>
      </c>
      <c r="F6" s="20">
        <v>1.4450000000000001</v>
      </c>
      <c r="G6" s="20">
        <v>1.2969999999999999</v>
      </c>
      <c r="H6" s="20">
        <v>1.1870000000000001</v>
      </c>
      <c r="I6" s="20">
        <v>1.08</v>
      </c>
      <c r="J6" s="20">
        <v>1.0089999999999999</v>
      </c>
      <c r="K6" s="20">
        <v>0.93500000000000005</v>
      </c>
      <c r="L6" s="20">
        <v>0.85099999999999998</v>
      </c>
      <c r="M6" s="20">
        <v>0.755</v>
      </c>
      <c r="N6" s="20">
        <v>0.59099999999999997</v>
      </c>
      <c r="O6" s="20">
        <v>0.52900000000000003</v>
      </c>
      <c r="P6" s="20">
        <v>0.48199999999999998</v>
      </c>
      <c r="Q6" s="20">
        <v>0.433</v>
      </c>
      <c r="R6" s="20">
        <v>0.38800000000000001</v>
      </c>
      <c r="S6" s="20">
        <v>0.35399999999999998</v>
      </c>
      <c r="T6" s="20">
        <v>0.32800000000000001</v>
      </c>
      <c r="U6" s="20">
        <v>0.30199999999999999</v>
      </c>
      <c r="V6" s="20">
        <v>0.28000000000000003</v>
      </c>
      <c r="W6" s="20">
        <v>0.26300000000000001</v>
      </c>
      <c r="X6" s="20">
        <v>0.251</v>
      </c>
      <c r="Y6" s="20">
        <v>0.24099999999999999</v>
      </c>
      <c r="Z6" s="20">
        <v>0.22800000000000001</v>
      </c>
      <c r="AA6" s="20">
        <v>0.218</v>
      </c>
      <c r="AB6" s="20">
        <v>0.19500000000000001</v>
      </c>
      <c r="AC6" s="20">
        <v>0.187</v>
      </c>
      <c r="AD6" s="20">
        <v>0.17499999999999999</v>
      </c>
      <c r="AE6" s="20">
        <v>0.16600000000000001</v>
      </c>
      <c r="AF6" s="20">
        <v>0.159</v>
      </c>
    </row>
    <row r="7" spans="1:32" ht="13.2">
      <c r="A7" s="20" t="s">
        <v>197</v>
      </c>
      <c r="B7" s="20">
        <v>20.36</v>
      </c>
      <c r="C7" s="20">
        <v>19.274999999999999</v>
      </c>
      <c r="D7" s="20">
        <v>17.597000000000001</v>
      </c>
      <c r="E7" s="20">
        <v>16.411000000000001</v>
      </c>
      <c r="F7" s="20">
        <v>14.852</v>
      </c>
      <c r="G7" s="20">
        <v>13.456</v>
      </c>
      <c r="H7" s="20">
        <v>12.464</v>
      </c>
      <c r="I7" s="20">
        <v>11.334</v>
      </c>
      <c r="J7" s="20">
        <v>10.545</v>
      </c>
      <c r="K7" s="20">
        <v>9.8480000000000008</v>
      </c>
      <c r="L7" s="20">
        <v>9.2799999999999994</v>
      </c>
      <c r="M7" s="20">
        <v>8.4410000000000007</v>
      </c>
      <c r="N7" s="20">
        <v>7.07</v>
      </c>
      <c r="O7" s="20">
        <v>6.5330000000000004</v>
      </c>
      <c r="P7" s="20">
        <v>6.2119999999999997</v>
      </c>
      <c r="Q7" s="20">
        <v>5.7629999999999999</v>
      </c>
      <c r="R7" s="20">
        <v>5.2240000000000002</v>
      </c>
      <c r="S7" s="20">
        <v>4.875</v>
      </c>
      <c r="T7" s="20">
        <v>4.6459999999999999</v>
      </c>
      <c r="U7" s="20">
        <v>4.3959999999999999</v>
      </c>
      <c r="V7" s="20">
        <v>4.1520000000000001</v>
      </c>
      <c r="W7" s="20">
        <v>3.956</v>
      </c>
      <c r="X7" s="20">
        <v>3.8119999999999998</v>
      </c>
      <c r="Y7" s="20">
        <v>3.6640000000000001</v>
      </c>
      <c r="Z7" s="20">
        <v>3.5339999999999998</v>
      </c>
      <c r="AA7" s="20">
        <v>3.359</v>
      </c>
      <c r="AB7" s="20">
        <v>3.1709999999999998</v>
      </c>
      <c r="AC7" s="20">
        <v>3.0049999999999999</v>
      </c>
      <c r="AD7" s="20">
        <v>2.8450000000000002</v>
      </c>
      <c r="AE7" s="20">
        <v>2.6680000000000001</v>
      </c>
      <c r="AF7" s="20">
        <v>2.508</v>
      </c>
    </row>
    <row r="8" spans="1:32" ht="13.2">
      <c r="A8" s="20" t="s">
        <v>198</v>
      </c>
      <c r="B8" s="20">
        <v>2.173</v>
      </c>
      <c r="C8" s="20">
        <v>2.0859999999999999</v>
      </c>
      <c r="D8" s="20">
        <v>1.9710000000000001</v>
      </c>
      <c r="E8" s="20">
        <v>1.87</v>
      </c>
      <c r="F8" s="20">
        <v>1.6679999999999999</v>
      </c>
      <c r="G8" s="20">
        <v>1.4750000000000001</v>
      </c>
      <c r="H8" s="20">
        <v>1.35</v>
      </c>
      <c r="I8" s="20">
        <v>1.2</v>
      </c>
      <c r="J8" s="20">
        <v>1.133</v>
      </c>
      <c r="K8" s="20">
        <v>1.048</v>
      </c>
      <c r="L8" s="20">
        <v>0.95099999999999996</v>
      </c>
      <c r="M8" s="20">
        <v>0.82799999999999996</v>
      </c>
      <c r="N8" s="20">
        <v>0.63</v>
      </c>
      <c r="O8" s="20">
        <v>0.56200000000000006</v>
      </c>
      <c r="P8" s="20">
        <v>0.47899999999999998</v>
      </c>
      <c r="Q8" s="20">
        <v>0.40100000000000002</v>
      </c>
      <c r="R8" s="20">
        <v>0.34300000000000003</v>
      </c>
      <c r="S8" s="20">
        <v>0.28999999999999998</v>
      </c>
      <c r="T8" s="20">
        <v>0.25600000000000001</v>
      </c>
      <c r="U8" s="20">
        <v>0.215</v>
      </c>
      <c r="V8" s="20">
        <v>0.192</v>
      </c>
      <c r="W8" s="20">
        <v>0.17299999999999999</v>
      </c>
      <c r="X8" s="20">
        <v>0.157</v>
      </c>
      <c r="Y8" s="20">
        <v>0.14299999999999999</v>
      </c>
      <c r="Z8" s="20">
        <v>0.11700000000000001</v>
      </c>
      <c r="AA8" s="20">
        <v>0.10299999999999999</v>
      </c>
      <c r="AB8" s="20">
        <v>8.7999999999999995E-2</v>
      </c>
      <c r="AC8" s="20">
        <v>8.1000000000000003E-2</v>
      </c>
      <c r="AD8" s="20">
        <v>7.0000000000000007E-2</v>
      </c>
      <c r="AE8" s="20">
        <v>6.3E-2</v>
      </c>
      <c r="AF8" s="20">
        <v>5.3999999999999999E-2</v>
      </c>
    </row>
    <row r="9" spans="1:32" ht="13.2">
      <c r="A9" s="20" t="s">
        <v>199</v>
      </c>
      <c r="B9" s="20">
        <v>2.1999999999999999E-2</v>
      </c>
      <c r="C9" s="20">
        <v>2.1999999999999999E-2</v>
      </c>
      <c r="D9" s="20">
        <v>0.02</v>
      </c>
      <c r="E9" s="20">
        <v>1.9E-2</v>
      </c>
      <c r="F9" s="20">
        <v>1.7000000000000001E-2</v>
      </c>
      <c r="G9" s="20">
        <v>1.6E-2</v>
      </c>
      <c r="H9" s="20">
        <v>1.4999999999999999E-2</v>
      </c>
      <c r="I9" s="20">
        <v>1.4E-2</v>
      </c>
      <c r="J9" s="20">
        <v>1.2999999999999999E-2</v>
      </c>
      <c r="K9" s="20">
        <v>1.2E-2</v>
      </c>
      <c r="L9" s="20">
        <v>1.0999999999999999E-2</v>
      </c>
      <c r="M9" s="20">
        <v>0.01</v>
      </c>
      <c r="N9" s="20">
        <v>8.0000000000000002E-3</v>
      </c>
      <c r="O9" s="20">
        <v>7.0000000000000001E-3</v>
      </c>
      <c r="P9" s="20">
        <v>6.0000000000000001E-3</v>
      </c>
      <c r="Q9" s="20">
        <v>6.0000000000000001E-3</v>
      </c>
      <c r="R9" s="20">
        <v>5.0000000000000001E-3</v>
      </c>
      <c r="S9" s="20">
        <v>5.0000000000000001E-3</v>
      </c>
      <c r="T9" s="20">
        <v>5.0000000000000001E-3</v>
      </c>
      <c r="U9" s="20">
        <v>4.0000000000000001E-3</v>
      </c>
      <c r="V9" s="20">
        <v>4.0000000000000001E-3</v>
      </c>
      <c r="W9" s="20">
        <v>4.0000000000000001E-3</v>
      </c>
      <c r="X9" s="20">
        <v>4.0000000000000001E-3</v>
      </c>
      <c r="Y9" s="20">
        <v>4.0000000000000001E-3</v>
      </c>
      <c r="Z9" s="20">
        <v>4.0000000000000001E-3</v>
      </c>
      <c r="AA9" s="20">
        <v>4.0000000000000001E-3</v>
      </c>
      <c r="AB9" s="20">
        <v>4.0000000000000001E-3</v>
      </c>
      <c r="AC9" s="20">
        <v>4.0000000000000001E-3</v>
      </c>
      <c r="AD9" s="20">
        <v>4.0000000000000001E-3</v>
      </c>
      <c r="AE9" s="20">
        <v>4.0000000000000001E-3</v>
      </c>
      <c r="AF9" s="20">
        <v>4.0000000000000001E-3</v>
      </c>
    </row>
    <row r="10" spans="1:32" ht="13.2">
      <c r="A10" s="20" t="s">
        <v>200</v>
      </c>
      <c r="B10" s="20">
        <v>3.0000000000000001E-3</v>
      </c>
      <c r="C10" s="20">
        <v>3.0000000000000001E-3</v>
      </c>
      <c r="D10" s="20">
        <v>3.0000000000000001E-3</v>
      </c>
      <c r="E10" s="20">
        <v>3.0000000000000001E-3</v>
      </c>
      <c r="F10" s="20">
        <v>3.0000000000000001E-3</v>
      </c>
      <c r="G10" s="20">
        <v>3.0000000000000001E-3</v>
      </c>
      <c r="H10" s="20">
        <v>3.0000000000000001E-3</v>
      </c>
      <c r="I10" s="20">
        <v>3.0000000000000001E-3</v>
      </c>
      <c r="J10" s="20">
        <v>3.0000000000000001E-3</v>
      </c>
      <c r="K10" s="20">
        <v>3.0000000000000001E-3</v>
      </c>
      <c r="L10" s="20">
        <v>3.0000000000000001E-3</v>
      </c>
      <c r="M10" s="20">
        <v>3.0000000000000001E-3</v>
      </c>
      <c r="N10" s="20">
        <v>3.0000000000000001E-3</v>
      </c>
      <c r="O10" s="20">
        <v>3.0000000000000001E-3</v>
      </c>
      <c r="P10" s="20">
        <v>3.0000000000000001E-3</v>
      </c>
      <c r="Q10" s="20">
        <v>3.0000000000000001E-3</v>
      </c>
      <c r="R10" s="20">
        <v>3.0000000000000001E-3</v>
      </c>
      <c r="S10" s="20">
        <v>3.0000000000000001E-3</v>
      </c>
      <c r="T10" s="20">
        <v>3.0000000000000001E-3</v>
      </c>
      <c r="U10" s="20">
        <v>3.0000000000000001E-3</v>
      </c>
      <c r="V10" s="20">
        <v>3.0000000000000001E-3</v>
      </c>
      <c r="W10" s="20">
        <v>3.0000000000000001E-3</v>
      </c>
      <c r="X10" s="20">
        <v>3.0000000000000001E-3</v>
      </c>
      <c r="Y10" s="20">
        <v>3.0000000000000001E-3</v>
      </c>
      <c r="Z10" s="20">
        <v>3.0000000000000001E-3</v>
      </c>
      <c r="AA10" s="20">
        <v>3.0000000000000001E-3</v>
      </c>
      <c r="AB10" s="20">
        <v>3.0000000000000001E-3</v>
      </c>
      <c r="AC10" s="20">
        <v>3.0000000000000001E-3</v>
      </c>
      <c r="AD10" s="20">
        <v>3.0000000000000001E-3</v>
      </c>
      <c r="AE10" s="20">
        <v>3.0000000000000001E-3</v>
      </c>
      <c r="AF10" s="20">
        <v>3.0000000000000001E-3</v>
      </c>
    </row>
    <row r="11" spans="1:32" ht="13.2">
      <c r="A11" s="20" t="s">
        <v>201</v>
      </c>
      <c r="B11" s="20">
        <v>1E-3</v>
      </c>
      <c r="C11" s="20">
        <v>1E-3</v>
      </c>
      <c r="D11" s="20">
        <v>1E-3</v>
      </c>
      <c r="E11" s="20">
        <v>1E-3</v>
      </c>
      <c r="F11" s="20">
        <v>1E-3</v>
      </c>
      <c r="G11" s="20">
        <v>1E-3</v>
      </c>
      <c r="H11" s="20">
        <v>1E-3</v>
      </c>
      <c r="I11" s="20">
        <v>1E-3</v>
      </c>
      <c r="J11" s="20">
        <v>1E-3</v>
      </c>
      <c r="K11" s="20">
        <v>1E-3</v>
      </c>
      <c r="L11" s="20">
        <v>1E-3</v>
      </c>
      <c r="M11" s="20">
        <v>1E-3</v>
      </c>
      <c r="N11" s="20">
        <v>1E-3</v>
      </c>
      <c r="O11" s="20">
        <v>1E-3</v>
      </c>
      <c r="P11" s="20">
        <v>1E-3</v>
      </c>
      <c r="Q11" s="20">
        <v>1E-3</v>
      </c>
      <c r="R11" s="20">
        <v>1E-3</v>
      </c>
      <c r="S11" s="20">
        <v>1E-3</v>
      </c>
      <c r="T11" s="20">
        <v>1E-3</v>
      </c>
      <c r="U11" s="20">
        <v>1E-3</v>
      </c>
      <c r="V11" s="20">
        <v>1E-3</v>
      </c>
      <c r="W11" s="20">
        <v>1E-3</v>
      </c>
      <c r="X11" s="20">
        <v>1E-3</v>
      </c>
      <c r="Y11" s="20">
        <v>1E-3</v>
      </c>
      <c r="Z11" s="20">
        <v>1E-3</v>
      </c>
      <c r="AA11" s="20">
        <v>1E-3</v>
      </c>
      <c r="AB11" s="20">
        <v>1E-3</v>
      </c>
      <c r="AC11" s="20">
        <v>1E-3</v>
      </c>
      <c r="AD11" s="20">
        <v>1E-3</v>
      </c>
      <c r="AE11" s="20">
        <v>1E-3</v>
      </c>
      <c r="AF11" s="20">
        <v>1E-3</v>
      </c>
    </row>
    <row r="12" spans="1:32" ht="13.2">
      <c r="A12" s="20" t="s">
        <v>202</v>
      </c>
    </row>
    <row r="13" spans="1:32" ht="13.2">
      <c r="A13" s="20" t="s">
        <v>196</v>
      </c>
      <c r="B13" s="20">
        <v>2.4540000000000002</v>
      </c>
      <c r="C13" s="20">
        <v>2.246</v>
      </c>
      <c r="D13" s="20">
        <v>1.964</v>
      </c>
      <c r="E13" s="20">
        <v>1.754</v>
      </c>
      <c r="F13" s="20">
        <v>1.5109999999999999</v>
      </c>
      <c r="G13" s="20">
        <v>1.2969999999999999</v>
      </c>
      <c r="H13" s="20">
        <v>1.165</v>
      </c>
      <c r="I13" s="20">
        <v>1.024</v>
      </c>
      <c r="J13" s="20">
        <v>0.92500000000000004</v>
      </c>
      <c r="K13" s="20">
        <v>0.86899999999999999</v>
      </c>
      <c r="L13" s="20">
        <v>0.80400000000000005</v>
      </c>
      <c r="M13" s="20">
        <v>0.76100000000000001</v>
      </c>
      <c r="N13" s="20">
        <v>0.73699999999999999</v>
      </c>
      <c r="O13" s="20">
        <v>0.67800000000000005</v>
      </c>
      <c r="P13" s="20">
        <v>0.63</v>
      </c>
      <c r="Q13" s="20">
        <v>0.57399999999999995</v>
      </c>
      <c r="R13" s="20">
        <v>0.503</v>
      </c>
      <c r="S13" s="20">
        <v>0.45800000000000002</v>
      </c>
      <c r="T13" s="20">
        <v>0.41799999999999998</v>
      </c>
      <c r="U13" s="20">
        <v>0.377</v>
      </c>
      <c r="V13" s="20">
        <v>0.33900000000000002</v>
      </c>
      <c r="W13" s="20">
        <v>0.317</v>
      </c>
      <c r="X13" s="20">
        <v>0.29899999999999999</v>
      </c>
      <c r="Y13" s="20">
        <v>0.28100000000000003</v>
      </c>
      <c r="Z13" s="20">
        <v>0.26100000000000001</v>
      </c>
      <c r="AA13" s="20">
        <v>0.246</v>
      </c>
      <c r="AB13" s="20">
        <v>0.22</v>
      </c>
      <c r="AC13" s="20">
        <v>0.20699999999999999</v>
      </c>
      <c r="AD13" s="20">
        <v>0.19500000000000001</v>
      </c>
      <c r="AE13" s="20">
        <v>0.184</v>
      </c>
      <c r="AF13" s="20">
        <v>0.17499999999999999</v>
      </c>
    </row>
    <row r="14" spans="1:32" ht="13.2">
      <c r="A14" s="20" t="s">
        <v>197</v>
      </c>
      <c r="B14" s="20">
        <v>30.622</v>
      </c>
      <c r="C14" s="20">
        <v>27.97</v>
      </c>
      <c r="D14" s="20">
        <v>24.475999999999999</v>
      </c>
      <c r="E14" s="20">
        <v>21.986999999999998</v>
      </c>
      <c r="F14" s="20">
        <v>19.452999999999999</v>
      </c>
      <c r="G14" s="20">
        <v>17.119</v>
      </c>
      <c r="H14" s="20">
        <v>15.616</v>
      </c>
      <c r="I14" s="20">
        <v>13.79</v>
      </c>
      <c r="J14" s="20">
        <v>12.348000000000001</v>
      </c>
      <c r="K14" s="20">
        <v>11.66</v>
      </c>
      <c r="L14" s="20">
        <v>11.087999999999999</v>
      </c>
      <c r="M14" s="20">
        <v>10.677</v>
      </c>
      <c r="N14" s="20">
        <v>10.351000000000001</v>
      </c>
      <c r="O14" s="20">
        <v>9.7680000000000007</v>
      </c>
      <c r="P14" s="20">
        <v>9.3439999999999994</v>
      </c>
      <c r="Q14" s="20">
        <v>8.6630000000000003</v>
      </c>
      <c r="R14" s="20">
        <v>7.5060000000000002</v>
      </c>
      <c r="S14" s="20">
        <v>6.9340000000000002</v>
      </c>
      <c r="T14" s="20">
        <v>6.4480000000000004</v>
      </c>
      <c r="U14" s="20">
        <v>5.9550000000000001</v>
      </c>
      <c r="V14" s="20">
        <v>5.4219999999999997</v>
      </c>
      <c r="W14" s="20">
        <v>5.0460000000000003</v>
      </c>
      <c r="X14" s="20">
        <v>4.7699999999999996</v>
      </c>
      <c r="Y14" s="20">
        <v>4.5069999999999997</v>
      </c>
      <c r="Z14" s="20">
        <v>4.2530000000000001</v>
      </c>
      <c r="AA14" s="20">
        <v>4.0129999999999999</v>
      </c>
      <c r="AB14" s="20">
        <v>3.6970000000000001</v>
      </c>
      <c r="AC14" s="20">
        <v>3.5009999999999999</v>
      </c>
      <c r="AD14" s="20">
        <v>3.2690000000000001</v>
      </c>
      <c r="AE14" s="20">
        <v>3.0539999999999998</v>
      </c>
      <c r="AF14" s="20">
        <v>2.883</v>
      </c>
    </row>
    <row r="15" spans="1:32" ht="13.2">
      <c r="A15" s="20" t="s">
        <v>198</v>
      </c>
      <c r="B15" s="20">
        <v>3.3039999999999998</v>
      </c>
      <c r="C15" s="20">
        <v>3.1160000000000001</v>
      </c>
      <c r="D15" s="20">
        <v>2.855</v>
      </c>
      <c r="E15" s="20">
        <v>2.629</v>
      </c>
      <c r="F15" s="20">
        <v>2.3050000000000002</v>
      </c>
      <c r="G15" s="20">
        <v>2.0019999999999998</v>
      </c>
      <c r="H15" s="20">
        <v>1.841</v>
      </c>
      <c r="I15" s="20">
        <v>1.6279999999999999</v>
      </c>
      <c r="J15" s="20">
        <v>1.512</v>
      </c>
      <c r="K15" s="20">
        <v>1.4330000000000001</v>
      </c>
      <c r="L15" s="20">
        <v>1.333</v>
      </c>
      <c r="M15" s="20">
        <v>1.2430000000000001</v>
      </c>
      <c r="N15" s="20">
        <v>1.1819999999999999</v>
      </c>
      <c r="O15" s="20">
        <v>1.0589999999999999</v>
      </c>
      <c r="P15" s="20">
        <v>0.93799999999999994</v>
      </c>
      <c r="Q15" s="20">
        <v>0.81699999999999995</v>
      </c>
      <c r="R15" s="20">
        <v>0.70299999999999996</v>
      </c>
      <c r="S15" s="20">
        <v>0.60699999999999998</v>
      </c>
      <c r="T15" s="20">
        <v>0.53300000000000003</v>
      </c>
      <c r="U15" s="20">
        <v>0.44500000000000001</v>
      </c>
      <c r="V15" s="20">
        <v>0.376</v>
      </c>
      <c r="W15" s="20">
        <v>0.33400000000000002</v>
      </c>
      <c r="X15" s="20">
        <v>0.29799999999999999</v>
      </c>
      <c r="Y15" s="20">
        <v>0.26600000000000001</v>
      </c>
      <c r="Z15" s="20">
        <v>0.22700000000000001</v>
      </c>
      <c r="AA15" s="20">
        <v>0.20100000000000001</v>
      </c>
      <c r="AB15" s="20">
        <v>0.16400000000000001</v>
      </c>
      <c r="AC15" s="20">
        <v>0.14499999999999999</v>
      </c>
      <c r="AD15" s="20">
        <v>0.127</v>
      </c>
      <c r="AE15" s="20">
        <v>0.10299999999999999</v>
      </c>
      <c r="AF15" s="20">
        <v>8.8999999999999996E-2</v>
      </c>
    </row>
    <row r="16" spans="1:32" ht="13.2">
      <c r="A16" s="20" t="s">
        <v>199</v>
      </c>
      <c r="B16" s="20">
        <v>2.8000000000000001E-2</v>
      </c>
      <c r="C16" s="20">
        <v>2.5999999999999999E-2</v>
      </c>
      <c r="D16" s="20">
        <v>2.1999999999999999E-2</v>
      </c>
      <c r="E16" s="20">
        <v>0.02</v>
      </c>
      <c r="F16" s="20">
        <v>1.7999999999999999E-2</v>
      </c>
      <c r="G16" s="20">
        <v>1.6E-2</v>
      </c>
      <c r="H16" s="20">
        <v>1.4E-2</v>
      </c>
      <c r="I16" s="20">
        <v>1.2999999999999999E-2</v>
      </c>
      <c r="J16" s="20">
        <v>1.2E-2</v>
      </c>
      <c r="K16" s="20">
        <v>1.2E-2</v>
      </c>
      <c r="L16" s="20">
        <v>1.0999999999999999E-2</v>
      </c>
      <c r="M16" s="20">
        <v>0.01</v>
      </c>
      <c r="N16" s="20">
        <v>0.01</v>
      </c>
      <c r="O16" s="20">
        <v>8.9999999999999993E-3</v>
      </c>
      <c r="P16" s="20">
        <v>8.0000000000000002E-3</v>
      </c>
      <c r="Q16" s="20">
        <v>8.0000000000000002E-3</v>
      </c>
      <c r="R16" s="20">
        <v>7.0000000000000001E-3</v>
      </c>
      <c r="S16" s="20">
        <v>7.0000000000000001E-3</v>
      </c>
      <c r="T16" s="20">
        <v>7.0000000000000001E-3</v>
      </c>
      <c r="U16" s="20">
        <v>7.0000000000000001E-3</v>
      </c>
      <c r="V16" s="20">
        <v>7.0000000000000001E-3</v>
      </c>
      <c r="W16" s="20">
        <v>6.0000000000000001E-3</v>
      </c>
      <c r="X16" s="20">
        <v>6.0000000000000001E-3</v>
      </c>
      <c r="Y16" s="20">
        <v>6.0000000000000001E-3</v>
      </c>
      <c r="Z16" s="20">
        <v>6.0000000000000001E-3</v>
      </c>
      <c r="AA16" s="20">
        <v>6.0000000000000001E-3</v>
      </c>
      <c r="AB16" s="20">
        <v>6.0000000000000001E-3</v>
      </c>
      <c r="AC16" s="20">
        <v>5.0000000000000001E-3</v>
      </c>
      <c r="AD16" s="20">
        <v>5.0000000000000001E-3</v>
      </c>
      <c r="AE16" s="20">
        <v>5.0000000000000001E-3</v>
      </c>
      <c r="AF16" s="20">
        <v>5.0000000000000001E-3</v>
      </c>
    </row>
    <row r="17" spans="1:32" ht="13.2">
      <c r="A17" s="20" t="s">
        <v>200</v>
      </c>
      <c r="B17" s="20">
        <v>3.0000000000000001E-3</v>
      </c>
      <c r="C17" s="20">
        <v>3.0000000000000001E-3</v>
      </c>
      <c r="D17" s="20">
        <v>3.0000000000000001E-3</v>
      </c>
      <c r="E17" s="20">
        <v>3.0000000000000001E-3</v>
      </c>
      <c r="F17" s="20">
        <v>3.0000000000000001E-3</v>
      </c>
      <c r="G17" s="20">
        <v>3.0000000000000001E-3</v>
      </c>
      <c r="H17" s="20">
        <v>3.0000000000000001E-3</v>
      </c>
      <c r="I17" s="20">
        <v>3.0000000000000001E-3</v>
      </c>
      <c r="J17" s="20">
        <v>3.0000000000000001E-3</v>
      </c>
      <c r="K17" s="20">
        <v>3.0000000000000001E-3</v>
      </c>
      <c r="L17" s="20">
        <v>3.0000000000000001E-3</v>
      </c>
      <c r="M17" s="20">
        <v>3.0000000000000001E-3</v>
      </c>
      <c r="N17" s="20">
        <v>3.0000000000000001E-3</v>
      </c>
      <c r="O17" s="20">
        <v>3.0000000000000001E-3</v>
      </c>
      <c r="P17" s="20">
        <v>3.0000000000000001E-3</v>
      </c>
      <c r="Q17" s="20">
        <v>3.0000000000000001E-3</v>
      </c>
      <c r="R17" s="20">
        <v>3.0000000000000001E-3</v>
      </c>
      <c r="S17" s="20">
        <v>3.0000000000000001E-3</v>
      </c>
      <c r="T17" s="20">
        <v>3.0000000000000001E-3</v>
      </c>
      <c r="U17" s="20">
        <v>3.0000000000000001E-3</v>
      </c>
      <c r="V17" s="20">
        <v>3.0000000000000001E-3</v>
      </c>
      <c r="W17" s="20">
        <v>3.0000000000000001E-3</v>
      </c>
      <c r="X17" s="20">
        <v>3.0000000000000001E-3</v>
      </c>
      <c r="Y17" s="20">
        <v>3.0000000000000001E-3</v>
      </c>
      <c r="Z17" s="20">
        <v>3.0000000000000001E-3</v>
      </c>
      <c r="AA17" s="20">
        <v>3.0000000000000001E-3</v>
      </c>
      <c r="AB17" s="20">
        <v>3.0000000000000001E-3</v>
      </c>
      <c r="AC17" s="20">
        <v>3.0000000000000001E-3</v>
      </c>
      <c r="AD17" s="20">
        <v>3.0000000000000001E-3</v>
      </c>
      <c r="AE17" s="20">
        <v>3.0000000000000001E-3</v>
      </c>
      <c r="AF17" s="20">
        <v>3.0000000000000001E-3</v>
      </c>
    </row>
    <row r="18" spans="1:32" ht="13.2">
      <c r="A18" s="20" t="s">
        <v>201</v>
      </c>
      <c r="B18" s="20">
        <v>1E-3</v>
      </c>
      <c r="C18" s="20">
        <v>1E-3</v>
      </c>
      <c r="D18" s="20">
        <v>1E-3</v>
      </c>
      <c r="E18" s="20">
        <v>1E-3</v>
      </c>
      <c r="F18" s="20">
        <v>1E-3</v>
      </c>
      <c r="G18" s="20">
        <v>1E-3</v>
      </c>
      <c r="H18" s="20">
        <v>1E-3</v>
      </c>
      <c r="I18" s="20">
        <v>1E-3</v>
      </c>
      <c r="J18" s="20">
        <v>1E-3</v>
      </c>
      <c r="K18" s="20">
        <v>1E-3</v>
      </c>
      <c r="L18" s="20">
        <v>1E-3</v>
      </c>
      <c r="M18" s="20">
        <v>1E-3</v>
      </c>
      <c r="N18" s="20">
        <v>1E-3</v>
      </c>
      <c r="O18" s="20">
        <v>1E-3</v>
      </c>
      <c r="P18" s="20">
        <v>1E-3</v>
      </c>
      <c r="Q18" s="20">
        <v>1E-3</v>
      </c>
      <c r="R18" s="20">
        <v>1E-3</v>
      </c>
      <c r="S18" s="20">
        <v>1E-3</v>
      </c>
      <c r="T18" s="20">
        <v>1E-3</v>
      </c>
      <c r="U18" s="20">
        <v>1E-3</v>
      </c>
      <c r="V18" s="20">
        <v>1E-3</v>
      </c>
      <c r="W18" s="20">
        <v>1E-3</v>
      </c>
      <c r="X18" s="20">
        <v>1E-3</v>
      </c>
      <c r="Y18" s="20">
        <v>1E-3</v>
      </c>
      <c r="Z18" s="20">
        <v>1E-3</v>
      </c>
      <c r="AA18" s="20">
        <v>1E-3</v>
      </c>
      <c r="AB18" s="20">
        <v>1E-3</v>
      </c>
      <c r="AC18" s="20">
        <v>1E-3</v>
      </c>
      <c r="AD18" s="20">
        <v>1E-3</v>
      </c>
      <c r="AE18" s="20">
        <v>1E-3</v>
      </c>
      <c r="AF18" s="20">
        <v>1E-3</v>
      </c>
    </row>
    <row r="19" spans="1:32" ht="13.2">
      <c r="A19" s="20" t="s">
        <v>203</v>
      </c>
    </row>
    <row r="20" spans="1:32" ht="13.2">
      <c r="A20" s="20" t="s">
        <v>196</v>
      </c>
      <c r="B20" s="20">
        <v>3.9470000000000001</v>
      </c>
      <c r="C20" s="20">
        <v>3.8450000000000002</v>
      </c>
      <c r="D20" s="20">
        <v>3.6280000000000001</v>
      </c>
      <c r="E20" s="20">
        <v>3.5070000000000001</v>
      </c>
      <c r="F20" s="20">
        <v>3.1709999999999998</v>
      </c>
      <c r="G20" s="20">
        <v>2.9329999999999998</v>
      </c>
      <c r="H20" s="20">
        <v>2.6560000000000001</v>
      </c>
      <c r="I20" s="20">
        <v>2.5640000000000001</v>
      </c>
      <c r="J20" s="20">
        <v>2.262</v>
      </c>
      <c r="K20" s="20">
        <v>2.2160000000000002</v>
      </c>
      <c r="L20" s="20">
        <v>2.202</v>
      </c>
      <c r="M20" s="20">
        <v>2.0299999999999998</v>
      </c>
      <c r="N20" s="20">
        <v>1.9410000000000001</v>
      </c>
      <c r="O20" s="20">
        <v>1.8340000000000001</v>
      </c>
      <c r="P20" s="20">
        <v>1.734</v>
      </c>
      <c r="Q20" s="20">
        <v>1.631</v>
      </c>
      <c r="R20" s="20">
        <v>1.5389999999999999</v>
      </c>
      <c r="S20" s="20">
        <v>1.476</v>
      </c>
      <c r="T20" s="20">
        <v>1.375</v>
      </c>
      <c r="U20" s="20">
        <v>1.264</v>
      </c>
      <c r="V20" s="20">
        <v>1.161</v>
      </c>
      <c r="W20" s="20">
        <v>1.1100000000000001</v>
      </c>
      <c r="X20" s="20">
        <v>1.077</v>
      </c>
      <c r="Y20" s="20">
        <v>1.0229999999999999</v>
      </c>
      <c r="Z20" s="20">
        <v>0.98</v>
      </c>
      <c r="AA20" s="20">
        <v>0.95499999999999996</v>
      </c>
      <c r="AB20" s="20">
        <v>0.88</v>
      </c>
      <c r="AC20" s="20">
        <v>0.85399999999999998</v>
      </c>
      <c r="AD20" s="20">
        <v>0.81200000000000006</v>
      </c>
      <c r="AE20" s="20">
        <v>0.79200000000000004</v>
      </c>
      <c r="AF20" s="20">
        <v>0.755</v>
      </c>
    </row>
    <row r="21" spans="1:32" ht="13.2">
      <c r="A21" s="20" t="s">
        <v>197</v>
      </c>
      <c r="B21" s="20">
        <v>54.487000000000002</v>
      </c>
      <c r="C21" s="20">
        <v>54.662999999999997</v>
      </c>
      <c r="D21" s="20">
        <v>52.865000000000002</v>
      </c>
      <c r="E21" s="20">
        <v>52.832999999999998</v>
      </c>
      <c r="F21" s="20">
        <v>47.924999999999997</v>
      </c>
      <c r="G21" s="20">
        <v>44.216999999999999</v>
      </c>
      <c r="H21" s="20">
        <v>40.457999999999998</v>
      </c>
      <c r="I21" s="20">
        <v>38.097000000000001</v>
      </c>
      <c r="J21" s="20">
        <v>34.093000000000004</v>
      </c>
      <c r="K21" s="20">
        <v>32.536999999999999</v>
      </c>
      <c r="L21" s="20">
        <v>32.115000000000002</v>
      </c>
      <c r="M21" s="20">
        <v>29.579000000000001</v>
      </c>
      <c r="N21" s="20">
        <v>28.28</v>
      </c>
      <c r="O21" s="20">
        <v>26.626999999999999</v>
      </c>
      <c r="P21" s="20">
        <v>25.227</v>
      </c>
      <c r="Q21" s="20">
        <v>23.14</v>
      </c>
      <c r="R21" s="20">
        <v>21.148</v>
      </c>
      <c r="S21" s="20">
        <v>19.847000000000001</v>
      </c>
      <c r="T21" s="20">
        <v>18.407</v>
      </c>
      <c r="U21" s="20">
        <v>16.408000000000001</v>
      </c>
      <c r="V21" s="20">
        <v>14.894</v>
      </c>
      <c r="W21" s="20">
        <v>14.103999999999999</v>
      </c>
      <c r="X21" s="20">
        <v>13.459</v>
      </c>
      <c r="Y21" s="20">
        <v>12.894</v>
      </c>
      <c r="Z21" s="20">
        <v>12.406000000000001</v>
      </c>
      <c r="AA21" s="20">
        <v>12.044</v>
      </c>
      <c r="AB21" s="20">
        <v>11.635999999999999</v>
      </c>
      <c r="AC21" s="20">
        <v>11.257</v>
      </c>
      <c r="AD21" s="20">
        <v>10.727</v>
      </c>
      <c r="AE21" s="20">
        <v>10.545999999999999</v>
      </c>
      <c r="AF21" s="20">
        <v>10.319000000000001</v>
      </c>
    </row>
    <row r="22" spans="1:32" ht="13.2">
      <c r="A22" s="20" t="s">
        <v>198</v>
      </c>
      <c r="B22" s="20">
        <v>6.0419999999999998</v>
      </c>
      <c r="C22" s="20">
        <v>5.8789999999999996</v>
      </c>
      <c r="D22" s="20">
        <v>5.633</v>
      </c>
      <c r="E22" s="20">
        <v>5.4720000000000004</v>
      </c>
      <c r="F22" s="20">
        <v>4.9969999999999999</v>
      </c>
      <c r="G22" s="20">
        <v>4.6280000000000001</v>
      </c>
      <c r="H22" s="20">
        <v>4.4009999999999998</v>
      </c>
      <c r="I22" s="20">
        <v>4.1669999999999998</v>
      </c>
      <c r="J22" s="20">
        <v>3.9910000000000001</v>
      </c>
      <c r="K22" s="20">
        <v>3.847</v>
      </c>
      <c r="L22" s="20">
        <v>3.7429999999999999</v>
      </c>
      <c r="M22" s="20">
        <v>3.4039999999999999</v>
      </c>
      <c r="N22" s="20">
        <v>3.2050000000000001</v>
      </c>
      <c r="O22" s="20">
        <v>2.9529999999999998</v>
      </c>
      <c r="P22" s="20">
        <v>2.5640000000000001</v>
      </c>
      <c r="Q22" s="20">
        <v>2.2280000000000002</v>
      </c>
      <c r="R22" s="20">
        <v>1.954</v>
      </c>
      <c r="S22" s="20">
        <v>1.714</v>
      </c>
      <c r="T22" s="20">
        <v>1.49</v>
      </c>
      <c r="U22" s="20">
        <v>1.165</v>
      </c>
      <c r="V22" s="20">
        <v>0.875</v>
      </c>
      <c r="W22" s="20">
        <v>0.77200000000000002</v>
      </c>
      <c r="X22" s="20">
        <v>0.68700000000000006</v>
      </c>
      <c r="Y22" s="20">
        <v>0.61199999999999999</v>
      </c>
      <c r="Z22" s="20">
        <v>0.54800000000000004</v>
      </c>
      <c r="AA22" s="20">
        <v>0.499</v>
      </c>
      <c r="AB22" s="20">
        <v>0.45</v>
      </c>
      <c r="AC22" s="20">
        <v>0.41</v>
      </c>
      <c r="AD22" s="20">
        <v>0.36799999999999999</v>
      </c>
      <c r="AE22" s="20">
        <v>0.34200000000000003</v>
      </c>
      <c r="AF22" s="20">
        <v>0.311</v>
      </c>
    </row>
    <row r="23" spans="1:32" ht="13.2">
      <c r="A23" s="20" t="s">
        <v>199</v>
      </c>
      <c r="B23" s="20">
        <v>9.7000000000000003E-2</v>
      </c>
      <c r="C23" s="20">
        <v>9.0999999999999998E-2</v>
      </c>
      <c r="D23" s="20">
        <v>8.2000000000000003E-2</v>
      </c>
      <c r="E23" s="20">
        <v>7.6999999999999999E-2</v>
      </c>
      <c r="F23" s="20">
        <v>6.9000000000000006E-2</v>
      </c>
      <c r="G23" s="20">
        <v>6.4000000000000001E-2</v>
      </c>
      <c r="H23" s="20">
        <v>5.7000000000000002E-2</v>
      </c>
      <c r="I23" s="20">
        <v>5.5E-2</v>
      </c>
      <c r="J23" s="20">
        <v>5.0999999999999997E-2</v>
      </c>
      <c r="K23" s="20">
        <v>4.9000000000000002E-2</v>
      </c>
      <c r="L23" s="20">
        <v>4.8000000000000001E-2</v>
      </c>
      <c r="M23" s="20">
        <v>4.1000000000000002E-2</v>
      </c>
      <c r="N23" s="20">
        <v>0.04</v>
      </c>
      <c r="O23" s="20">
        <v>3.7999999999999999E-2</v>
      </c>
      <c r="P23" s="20">
        <v>3.5000000000000003E-2</v>
      </c>
      <c r="Q23" s="20">
        <v>3.4000000000000002E-2</v>
      </c>
      <c r="R23" s="20">
        <v>3.3000000000000002E-2</v>
      </c>
      <c r="S23" s="20">
        <v>3.1E-2</v>
      </c>
      <c r="T23" s="20">
        <v>2.9000000000000001E-2</v>
      </c>
      <c r="U23" s="20">
        <v>2.8000000000000001E-2</v>
      </c>
      <c r="V23" s="20">
        <v>2.5999999999999999E-2</v>
      </c>
      <c r="W23" s="20">
        <v>2.5000000000000001E-2</v>
      </c>
      <c r="X23" s="20">
        <v>2.4E-2</v>
      </c>
      <c r="Y23" s="20">
        <v>2.3E-2</v>
      </c>
      <c r="Z23" s="20">
        <v>2.1999999999999999E-2</v>
      </c>
      <c r="AA23" s="20">
        <v>2.1999999999999999E-2</v>
      </c>
      <c r="AB23" s="20">
        <v>2.1000000000000001E-2</v>
      </c>
      <c r="AC23" s="20">
        <v>0.02</v>
      </c>
      <c r="AD23" s="20">
        <v>0.02</v>
      </c>
      <c r="AE23" s="20">
        <v>1.9E-2</v>
      </c>
      <c r="AF23" s="20">
        <v>1.9E-2</v>
      </c>
    </row>
    <row r="24" spans="1:32" ht="13.2">
      <c r="A24" s="20" t="s">
        <v>200</v>
      </c>
      <c r="B24" s="20">
        <v>6.0000000000000001E-3</v>
      </c>
      <c r="C24" s="20">
        <v>6.0000000000000001E-3</v>
      </c>
      <c r="D24" s="20">
        <v>5.0000000000000001E-3</v>
      </c>
      <c r="E24" s="20">
        <v>5.0000000000000001E-3</v>
      </c>
      <c r="F24" s="20">
        <v>5.0000000000000001E-3</v>
      </c>
      <c r="G24" s="20">
        <v>5.0000000000000001E-3</v>
      </c>
      <c r="H24" s="20">
        <v>5.0000000000000001E-3</v>
      </c>
      <c r="I24" s="20">
        <v>5.0000000000000001E-3</v>
      </c>
      <c r="J24" s="20">
        <v>5.0000000000000001E-3</v>
      </c>
      <c r="K24" s="20">
        <v>5.0000000000000001E-3</v>
      </c>
      <c r="L24" s="20">
        <v>5.0000000000000001E-3</v>
      </c>
      <c r="M24" s="20">
        <v>5.0000000000000001E-3</v>
      </c>
      <c r="N24" s="20">
        <v>5.0000000000000001E-3</v>
      </c>
      <c r="O24" s="20">
        <v>5.0000000000000001E-3</v>
      </c>
      <c r="P24" s="20">
        <v>5.0000000000000001E-3</v>
      </c>
      <c r="Q24" s="20">
        <v>5.0000000000000001E-3</v>
      </c>
      <c r="R24" s="20">
        <v>5.0000000000000001E-3</v>
      </c>
      <c r="S24" s="20">
        <v>6.0000000000000001E-3</v>
      </c>
      <c r="T24" s="20">
        <v>6.0000000000000001E-3</v>
      </c>
      <c r="U24" s="20">
        <v>6.0000000000000001E-3</v>
      </c>
      <c r="V24" s="20">
        <v>6.0000000000000001E-3</v>
      </c>
      <c r="W24" s="20">
        <v>6.0000000000000001E-3</v>
      </c>
      <c r="X24" s="20">
        <v>6.0000000000000001E-3</v>
      </c>
      <c r="Y24" s="20">
        <v>6.0000000000000001E-3</v>
      </c>
      <c r="Z24" s="20">
        <v>6.0000000000000001E-3</v>
      </c>
      <c r="AA24" s="20">
        <v>6.0000000000000001E-3</v>
      </c>
      <c r="AB24" s="20">
        <v>6.0000000000000001E-3</v>
      </c>
      <c r="AC24" s="20">
        <v>6.0000000000000001E-3</v>
      </c>
      <c r="AD24" s="20">
        <v>6.0000000000000001E-3</v>
      </c>
      <c r="AE24" s="20">
        <v>6.0000000000000001E-3</v>
      </c>
      <c r="AF24" s="20">
        <v>6.0000000000000001E-3</v>
      </c>
    </row>
    <row r="25" spans="1:32" ht="13.2">
      <c r="A25" s="20" t="s">
        <v>201</v>
      </c>
      <c r="B25" s="20">
        <v>2E-3</v>
      </c>
      <c r="C25" s="20">
        <v>2E-3</v>
      </c>
      <c r="D25" s="20">
        <v>2E-3</v>
      </c>
      <c r="E25" s="20">
        <v>2E-3</v>
      </c>
      <c r="F25" s="20">
        <v>2E-3</v>
      </c>
      <c r="G25" s="20">
        <v>2E-3</v>
      </c>
      <c r="H25" s="20">
        <v>2E-3</v>
      </c>
      <c r="I25" s="20">
        <v>2E-3</v>
      </c>
      <c r="J25" s="20">
        <v>2E-3</v>
      </c>
      <c r="K25" s="20">
        <v>2E-3</v>
      </c>
      <c r="L25" s="20">
        <v>2E-3</v>
      </c>
      <c r="M25" s="20">
        <v>2E-3</v>
      </c>
      <c r="N25" s="20">
        <v>2E-3</v>
      </c>
      <c r="O25" s="20">
        <v>2E-3</v>
      </c>
      <c r="P25" s="20">
        <v>2E-3</v>
      </c>
      <c r="Q25" s="20">
        <v>2E-3</v>
      </c>
      <c r="R25" s="20">
        <v>2E-3</v>
      </c>
      <c r="S25" s="20">
        <v>2E-3</v>
      </c>
      <c r="T25" s="20">
        <v>2E-3</v>
      </c>
      <c r="U25" s="20">
        <v>2E-3</v>
      </c>
      <c r="V25" s="20">
        <v>2E-3</v>
      </c>
      <c r="W25" s="20">
        <v>2E-3</v>
      </c>
      <c r="X25" s="20">
        <v>2E-3</v>
      </c>
      <c r="Y25" s="20">
        <v>2E-3</v>
      </c>
      <c r="Z25" s="20">
        <v>2E-3</v>
      </c>
      <c r="AA25" s="20">
        <v>2E-3</v>
      </c>
      <c r="AB25" s="20">
        <v>2E-3</v>
      </c>
      <c r="AC25" s="20">
        <v>2E-3</v>
      </c>
      <c r="AD25" s="20">
        <v>2E-3</v>
      </c>
      <c r="AE25" s="20">
        <v>2E-3</v>
      </c>
      <c r="AF25" s="20">
        <v>2E-3</v>
      </c>
    </row>
    <row r="26" spans="1:32" ht="13.2">
      <c r="A26" s="20" t="s">
        <v>204</v>
      </c>
    </row>
    <row r="27" spans="1:32" ht="13.2">
      <c r="A27" s="20" t="s">
        <v>196</v>
      </c>
      <c r="B27" s="20">
        <v>4.7389999999999999</v>
      </c>
      <c r="C27" s="20">
        <v>4.9029999999999996</v>
      </c>
      <c r="D27" s="20">
        <v>4.7720000000000002</v>
      </c>
      <c r="E27" s="20">
        <v>4.7270000000000003</v>
      </c>
      <c r="F27" s="20">
        <v>3.9460000000000002</v>
      </c>
      <c r="G27" s="20">
        <v>3.738</v>
      </c>
      <c r="H27" s="20">
        <v>3.2570000000000001</v>
      </c>
      <c r="I27" s="20">
        <v>3.0059999999999998</v>
      </c>
      <c r="J27" s="20">
        <v>2.952</v>
      </c>
      <c r="K27" s="20">
        <v>2.8929999999999998</v>
      </c>
      <c r="L27" s="20">
        <v>3.0550000000000002</v>
      </c>
      <c r="M27" s="20">
        <v>2.9750000000000001</v>
      </c>
      <c r="N27" s="20">
        <v>2.7669999999999999</v>
      </c>
      <c r="O27" s="20">
        <v>2.7730000000000001</v>
      </c>
      <c r="P27" s="20">
        <v>2.8010000000000002</v>
      </c>
      <c r="Q27" s="20">
        <v>2.819</v>
      </c>
      <c r="R27" s="20">
        <v>2.7280000000000002</v>
      </c>
      <c r="S27" s="20">
        <v>2.7160000000000002</v>
      </c>
      <c r="T27" s="20">
        <v>2.6680000000000001</v>
      </c>
      <c r="U27" s="20">
        <v>2.64</v>
      </c>
      <c r="V27" s="20">
        <v>2.6240000000000001</v>
      </c>
      <c r="W27" s="20">
        <v>2.6179999999999999</v>
      </c>
      <c r="X27" s="20">
        <v>2.6160000000000001</v>
      </c>
      <c r="Y27" s="20">
        <v>2.6150000000000002</v>
      </c>
      <c r="Z27" s="20">
        <v>2.6139999999999999</v>
      </c>
      <c r="AA27" s="20">
        <v>2.61</v>
      </c>
      <c r="AB27" s="20">
        <v>2.6019999999999999</v>
      </c>
      <c r="AC27" s="20">
        <v>2.5910000000000002</v>
      </c>
      <c r="AD27" s="20">
        <v>2.5449999999999999</v>
      </c>
      <c r="AE27" s="20">
        <v>2.5259999999999998</v>
      </c>
      <c r="AF27" s="20">
        <v>2.504</v>
      </c>
    </row>
    <row r="28" spans="1:32" ht="13.2">
      <c r="A28" s="20" t="s">
        <v>197</v>
      </c>
      <c r="B28" s="20">
        <v>36.277000000000001</v>
      </c>
      <c r="C28" s="20">
        <v>38.267000000000003</v>
      </c>
      <c r="D28" s="20">
        <v>39.088999999999999</v>
      </c>
      <c r="E28" s="20">
        <v>39.661000000000001</v>
      </c>
      <c r="F28" s="20">
        <v>33.261000000000003</v>
      </c>
      <c r="G28" s="20">
        <v>27.763999999999999</v>
      </c>
      <c r="H28" s="20">
        <v>25.538</v>
      </c>
      <c r="I28" s="20">
        <v>22.408999999999999</v>
      </c>
      <c r="J28" s="20">
        <v>19.84</v>
      </c>
      <c r="K28" s="20">
        <v>18.518000000000001</v>
      </c>
      <c r="L28" s="20">
        <v>18.887</v>
      </c>
      <c r="M28" s="20">
        <v>17.462</v>
      </c>
      <c r="N28" s="20">
        <v>16.731000000000002</v>
      </c>
      <c r="O28" s="20">
        <v>16.283000000000001</v>
      </c>
      <c r="P28" s="20">
        <v>15.874000000000001</v>
      </c>
      <c r="Q28" s="20">
        <v>15.5</v>
      </c>
      <c r="R28" s="20">
        <v>14.992000000000001</v>
      </c>
      <c r="S28" s="20">
        <v>14.484</v>
      </c>
      <c r="T28" s="20">
        <v>14.026</v>
      </c>
      <c r="U28" s="20">
        <v>13.685</v>
      </c>
      <c r="V28" s="20">
        <v>13.411</v>
      </c>
      <c r="W28" s="20">
        <v>13.2</v>
      </c>
      <c r="X28" s="20">
        <v>13.02</v>
      </c>
      <c r="Y28" s="20">
        <v>12.848000000000001</v>
      </c>
      <c r="Z28" s="20">
        <v>12.718999999999999</v>
      </c>
      <c r="AA28" s="20">
        <v>12.57</v>
      </c>
      <c r="AB28" s="20">
        <v>12.430999999999999</v>
      </c>
      <c r="AC28" s="20">
        <v>12.302</v>
      </c>
      <c r="AD28" s="20">
        <v>12.18</v>
      </c>
      <c r="AE28" s="20">
        <v>12.061999999999999</v>
      </c>
      <c r="AF28" s="20">
        <v>11.948</v>
      </c>
    </row>
    <row r="29" spans="1:32" ht="13.2">
      <c r="A29" s="20" t="s">
        <v>198</v>
      </c>
      <c r="B29" s="20">
        <v>0.92700000000000005</v>
      </c>
      <c r="C29" s="20">
        <v>1.0209999999999999</v>
      </c>
      <c r="D29" s="20">
        <v>1.0720000000000001</v>
      </c>
      <c r="E29" s="20">
        <v>1.1060000000000001</v>
      </c>
      <c r="F29" s="20">
        <v>0.96799999999999997</v>
      </c>
      <c r="G29" s="20">
        <v>0.84099999999999997</v>
      </c>
      <c r="H29" s="20">
        <v>0.80500000000000005</v>
      </c>
      <c r="I29" s="20">
        <v>0.71699999999999997</v>
      </c>
      <c r="J29" s="20">
        <v>0.70699999999999996</v>
      </c>
      <c r="K29" s="20">
        <v>0.69599999999999995</v>
      </c>
      <c r="L29" s="20">
        <v>0.71199999999999997</v>
      </c>
      <c r="M29" s="20">
        <v>0.68600000000000005</v>
      </c>
      <c r="N29" s="20">
        <v>0.68200000000000005</v>
      </c>
      <c r="O29" s="20">
        <v>0.67700000000000005</v>
      </c>
      <c r="P29" s="20">
        <v>0.67700000000000005</v>
      </c>
      <c r="Q29" s="20">
        <v>0.67100000000000004</v>
      </c>
      <c r="R29" s="20">
        <v>0.66300000000000003</v>
      </c>
      <c r="S29" s="20">
        <v>0.65400000000000003</v>
      </c>
      <c r="T29" s="20">
        <v>0.65</v>
      </c>
      <c r="U29" s="20">
        <v>0.64600000000000002</v>
      </c>
      <c r="V29" s="20">
        <v>0.64200000000000002</v>
      </c>
      <c r="W29" s="20">
        <v>0.64</v>
      </c>
      <c r="X29" s="20">
        <v>0.63800000000000001</v>
      </c>
      <c r="Y29" s="20">
        <v>0.63600000000000001</v>
      </c>
      <c r="Z29" s="20">
        <v>0.63400000000000001</v>
      </c>
      <c r="AA29" s="20">
        <v>0.63200000000000001</v>
      </c>
      <c r="AB29" s="20">
        <v>0.63100000000000001</v>
      </c>
      <c r="AC29" s="20">
        <v>0.629</v>
      </c>
      <c r="AD29" s="20">
        <v>0.628</v>
      </c>
      <c r="AE29" s="20">
        <v>0.626</v>
      </c>
      <c r="AF29" s="20">
        <v>0.625</v>
      </c>
    </row>
    <row r="30" spans="1:32" ht="13.2">
      <c r="A30" s="20" t="s">
        <v>199</v>
      </c>
      <c r="B30" s="20">
        <v>2.5999999999999999E-2</v>
      </c>
      <c r="C30" s="20">
        <v>2.5999999999999999E-2</v>
      </c>
      <c r="D30" s="20">
        <v>2.5999999999999999E-2</v>
      </c>
      <c r="E30" s="20">
        <v>2.5000000000000001E-2</v>
      </c>
      <c r="F30" s="20">
        <v>2.4E-2</v>
      </c>
      <c r="G30" s="20">
        <v>2.3E-2</v>
      </c>
      <c r="H30" s="20">
        <v>2.1999999999999999E-2</v>
      </c>
      <c r="I30" s="20">
        <v>2.1999999999999999E-2</v>
      </c>
      <c r="J30" s="20">
        <v>2.1999999999999999E-2</v>
      </c>
      <c r="K30" s="20">
        <v>2.1999999999999999E-2</v>
      </c>
      <c r="L30" s="20">
        <v>2.1999999999999999E-2</v>
      </c>
      <c r="M30" s="20">
        <v>2.1000000000000001E-2</v>
      </c>
      <c r="N30" s="20">
        <v>2.1000000000000001E-2</v>
      </c>
      <c r="O30" s="20">
        <v>2.1000000000000001E-2</v>
      </c>
      <c r="P30" s="20">
        <v>0.02</v>
      </c>
      <c r="Q30" s="20">
        <v>2.1000000000000001E-2</v>
      </c>
      <c r="R30" s="20">
        <v>2.1000000000000001E-2</v>
      </c>
      <c r="S30" s="20">
        <v>2.1000000000000001E-2</v>
      </c>
      <c r="T30" s="20">
        <v>2.1000000000000001E-2</v>
      </c>
      <c r="U30" s="20">
        <v>2.1000000000000001E-2</v>
      </c>
      <c r="V30" s="20">
        <v>2.1000000000000001E-2</v>
      </c>
      <c r="W30" s="20">
        <v>2.1000000000000001E-2</v>
      </c>
      <c r="X30" s="20">
        <v>2.1000000000000001E-2</v>
      </c>
      <c r="Y30" s="20">
        <v>2.1000000000000001E-2</v>
      </c>
      <c r="Z30" s="20">
        <v>2.1000000000000001E-2</v>
      </c>
      <c r="AA30" s="20">
        <v>2.1000000000000001E-2</v>
      </c>
      <c r="AB30" s="20">
        <v>2.1000000000000001E-2</v>
      </c>
      <c r="AC30" s="20">
        <v>2.1000000000000001E-2</v>
      </c>
      <c r="AD30" s="20">
        <v>2.1000000000000001E-2</v>
      </c>
      <c r="AE30" s="20">
        <v>2.1000000000000001E-2</v>
      </c>
      <c r="AF30" s="20">
        <v>2.1000000000000001E-2</v>
      </c>
    </row>
    <row r="31" spans="1:32" ht="13.2">
      <c r="A31" s="20" t="s">
        <v>200</v>
      </c>
      <c r="B31" s="20">
        <v>2E-3</v>
      </c>
      <c r="C31" s="20">
        <v>2E-3</v>
      </c>
      <c r="D31" s="20">
        <v>2E-3</v>
      </c>
      <c r="E31" s="20">
        <v>2E-3</v>
      </c>
      <c r="F31" s="20">
        <v>2E-3</v>
      </c>
      <c r="G31" s="20">
        <v>2E-3</v>
      </c>
      <c r="H31" s="20">
        <v>2E-3</v>
      </c>
      <c r="I31" s="20">
        <v>2E-3</v>
      </c>
      <c r="J31" s="20">
        <v>2E-3</v>
      </c>
      <c r="K31" s="20">
        <v>2E-3</v>
      </c>
      <c r="L31" s="20">
        <v>2E-3</v>
      </c>
      <c r="M31" s="20">
        <v>2E-3</v>
      </c>
      <c r="N31" s="20">
        <v>2E-3</v>
      </c>
      <c r="O31" s="20">
        <v>2E-3</v>
      </c>
      <c r="P31" s="20">
        <v>2E-3</v>
      </c>
      <c r="Q31" s="20">
        <v>2E-3</v>
      </c>
      <c r="R31" s="20">
        <v>2E-3</v>
      </c>
      <c r="S31" s="20">
        <v>2E-3</v>
      </c>
      <c r="T31" s="20">
        <v>2E-3</v>
      </c>
      <c r="U31" s="20">
        <v>2E-3</v>
      </c>
      <c r="V31" s="20">
        <v>2E-3</v>
      </c>
      <c r="W31" s="20">
        <v>2E-3</v>
      </c>
      <c r="X31" s="20">
        <v>2E-3</v>
      </c>
      <c r="Y31" s="20">
        <v>2E-3</v>
      </c>
      <c r="Z31" s="20">
        <v>2E-3</v>
      </c>
      <c r="AA31" s="20">
        <v>2E-3</v>
      </c>
      <c r="AB31" s="20">
        <v>2E-3</v>
      </c>
      <c r="AC31" s="20">
        <v>2E-3</v>
      </c>
      <c r="AD31" s="20">
        <v>2E-3</v>
      </c>
      <c r="AE31" s="20">
        <v>2E-3</v>
      </c>
      <c r="AF31" s="20">
        <v>2E-3</v>
      </c>
    </row>
    <row r="32" spans="1:32" ht="13.2">
      <c r="A32" s="20" t="s">
        <v>201</v>
      </c>
      <c r="B32" s="20">
        <v>1E-3</v>
      </c>
      <c r="C32" s="20">
        <v>1E-3</v>
      </c>
      <c r="D32" s="20">
        <v>1E-3</v>
      </c>
      <c r="E32" s="20">
        <v>1E-3</v>
      </c>
      <c r="F32" s="20">
        <v>1E-3</v>
      </c>
      <c r="G32" s="20">
        <v>1E-3</v>
      </c>
      <c r="H32" s="20">
        <v>1E-3</v>
      </c>
      <c r="I32" s="20">
        <v>1E-3</v>
      </c>
      <c r="J32" s="20">
        <v>1E-3</v>
      </c>
      <c r="K32" s="20">
        <v>1E-3</v>
      </c>
      <c r="L32" s="20">
        <v>1E-3</v>
      </c>
      <c r="M32" s="20">
        <v>1E-3</v>
      </c>
      <c r="N32" s="20">
        <v>1E-3</v>
      </c>
      <c r="O32" s="20">
        <v>1E-3</v>
      </c>
      <c r="P32" s="20">
        <v>1E-3</v>
      </c>
      <c r="Q32" s="20">
        <v>1E-3</v>
      </c>
      <c r="R32" s="20">
        <v>1E-3</v>
      </c>
      <c r="S32" s="20">
        <v>1E-3</v>
      </c>
      <c r="T32" s="20">
        <v>1E-3</v>
      </c>
      <c r="U32" s="20">
        <v>1E-3</v>
      </c>
      <c r="V32" s="20">
        <v>1E-3</v>
      </c>
      <c r="W32" s="20">
        <v>1E-3</v>
      </c>
      <c r="X32" s="20">
        <v>1E-3</v>
      </c>
      <c r="Y32" s="20">
        <v>1E-3</v>
      </c>
      <c r="Z32" s="20">
        <v>1E-3</v>
      </c>
      <c r="AA32" s="20">
        <v>1E-3</v>
      </c>
      <c r="AB32" s="20">
        <v>1E-3</v>
      </c>
      <c r="AC32" s="20">
        <v>1E-3</v>
      </c>
      <c r="AD32" s="20">
        <v>1E-3</v>
      </c>
      <c r="AE32" s="20">
        <v>1E-3</v>
      </c>
      <c r="AF32" s="20">
        <v>1E-3</v>
      </c>
    </row>
    <row r="33" spans="1:32" ht="13.2">
      <c r="A33" s="20" t="s">
        <v>205</v>
      </c>
    </row>
    <row r="34" spans="1:32" ht="13.2">
      <c r="A34" s="20" t="s">
        <v>195</v>
      </c>
    </row>
    <row r="35" spans="1:32" ht="13.2">
      <c r="A35" s="20" t="s">
        <v>196</v>
      </c>
      <c r="B35" s="20">
        <v>2.2829999999999999</v>
      </c>
      <c r="C35" s="20">
        <v>2.2210000000000001</v>
      </c>
      <c r="D35" s="20">
        <v>2.0510000000000002</v>
      </c>
      <c r="E35" s="20">
        <v>1.9119999999999999</v>
      </c>
      <c r="F35" s="20">
        <v>1.7869999999999999</v>
      </c>
      <c r="G35" s="20">
        <v>1.6879999999999999</v>
      </c>
      <c r="H35" s="20">
        <v>1.464</v>
      </c>
      <c r="I35" s="20">
        <v>1.3640000000000001</v>
      </c>
      <c r="J35" s="20">
        <v>1.327</v>
      </c>
      <c r="K35" s="20">
        <v>1.288</v>
      </c>
      <c r="L35" s="20">
        <v>1.19</v>
      </c>
      <c r="M35" s="20">
        <v>1.097</v>
      </c>
      <c r="N35" s="20">
        <v>0.997</v>
      </c>
      <c r="O35" s="20">
        <v>0.52</v>
      </c>
      <c r="P35" s="20">
        <v>0.34399999999999997</v>
      </c>
      <c r="Q35" s="20">
        <v>0.26600000000000001</v>
      </c>
      <c r="R35" s="20">
        <v>0.17</v>
      </c>
      <c r="S35" s="20">
        <v>0.17899999999999999</v>
      </c>
      <c r="T35" s="20">
        <v>0.14199999999999999</v>
      </c>
      <c r="U35" s="20">
        <v>0.14499999999999999</v>
      </c>
      <c r="V35" s="20">
        <v>0.14299999999999999</v>
      </c>
      <c r="W35" s="20">
        <v>0.14499999999999999</v>
      </c>
      <c r="X35" s="20">
        <v>0.13700000000000001</v>
      </c>
      <c r="Y35" s="20">
        <v>0.13100000000000001</v>
      </c>
      <c r="Z35" s="20">
        <v>0.125</v>
      </c>
      <c r="AA35" s="20">
        <v>0.122</v>
      </c>
      <c r="AB35" s="20">
        <v>0.113</v>
      </c>
      <c r="AC35" s="20">
        <v>0.105</v>
      </c>
      <c r="AD35" s="20">
        <v>9.7000000000000003E-2</v>
      </c>
      <c r="AE35" s="20">
        <v>9.0999999999999998E-2</v>
      </c>
      <c r="AF35" s="20">
        <v>8.5999999999999993E-2</v>
      </c>
    </row>
    <row r="36" spans="1:32" ht="13.2">
      <c r="A36" s="20" t="s">
        <v>197</v>
      </c>
      <c r="B36" s="20">
        <v>39.892000000000003</v>
      </c>
      <c r="C36" s="20">
        <v>38.14</v>
      </c>
      <c r="D36" s="20">
        <v>34.44</v>
      </c>
      <c r="E36" s="20">
        <v>31.722000000000001</v>
      </c>
      <c r="F36" s="20">
        <v>29.396000000000001</v>
      </c>
      <c r="G36" s="20">
        <v>27.356999999999999</v>
      </c>
      <c r="H36" s="20">
        <v>23.79</v>
      </c>
      <c r="I36" s="20">
        <v>22.251999999999999</v>
      </c>
      <c r="J36" s="20">
        <v>21.663</v>
      </c>
      <c r="K36" s="20">
        <v>20.981999999999999</v>
      </c>
      <c r="L36" s="20">
        <v>19.401</v>
      </c>
      <c r="M36" s="20">
        <v>17.945</v>
      </c>
      <c r="N36" s="20">
        <v>16.341999999999999</v>
      </c>
      <c r="O36" s="20">
        <v>9.8309999999999995</v>
      </c>
      <c r="P36" s="20">
        <v>6.6470000000000002</v>
      </c>
      <c r="Q36" s="20">
        <v>5.0279999999999996</v>
      </c>
      <c r="R36" s="20">
        <v>3.508</v>
      </c>
      <c r="S36" s="20">
        <v>3.7269999999999999</v>
      </c>
      <c r="T36" s="20">
        <v>3.3490000000000002</v>
      </c>
      <c r="U36" s="20">
        <v>3.59</v>
      </c>
      <c r="V36" s="20">
        <v>3.64</v>
      </c>
      <c r="W36" s="20">
        <v>3.7839999999999998</v>
      </c>
      <c r="X36" s="20">
        <v>3.661</v>
      </c>
      <c r="Y36" s="20">
        <v>3.5960000000000001</v>
      </c>
      <c r="Z36" s="20">
        <v>3.4449999999999998</v>
      </c>
      <c r="AA36" s="20">
        <v>3.3839999999999999</v>
      </c>
      <c r="AB36" s="20">
        <v>3.03</v>
      </c>
      <c r="AC36" s="20">
        <v>2.6709999999999998</v>
      </c>
      <c r="AD36" s="20">
        <v>2.3620000000000001</v>
      </c>
      <c r="AE36" s="20">
        <v>2.081</v>
      </c>
      <c r="AF36" s="20">
        <v>1.9019999999999999</v>
      </c>
    </row>
    <row r="37" spans="1:32" ht="13.2">
      <c r="A37" s="20" t="s">
        <v>198</v>
      </c>
      <c r="B37" s="20">
        <v>2.863</v>
      </c>
      <c r="C37" s="20">
        <v>2.6840000000000002</v>
      </c>
      <c r="D37" s="20">
        <v>2.3620000000000001</v>
      </c>
      <c r="E37" s="20">
        <v>2.2240000000000002</v>
      </c>
      <c r="F37" s="20">
        <v>2.0950000000000002</v>
      </c>
      <c r="G37" s="20">
        <v>1.9259999999999999</v>
      </c>
      <c r="H37" s="20">
        <v>1.6879999999999999</v>
      </c>
      <c r="I37" s="20">
        <v>1.6020000000000001</v>
      </c>
      <c r="J37" s="20">
        <v>1.5429999999999999</v>
      </c>
      <c r="K37" s="20">
        <v>1.4039999999999999</v>
      </c>
      <c r="L37" s="20">
        <v>1.2230000000000001</v>
      </c>
      <c r="M37" s="20">
        <v>1.131</v>
      </c>
      <c r="N37" s="20">
        <v>0.94699999999999995</v>
      </c>
      <c r="O37" s="20">
        <v>0.76</v>
      </c>
      <c r="P37" s="20">
        <v>0.47599999999999998</v>
      </c>
      <c r="Q37" s="20">
        <v>0.32100000000000001</v>
      </c>
      <c r="R37" s="20">
        <v>0.193</v>
      </c>
      <c r="S37" s="20">
        <v>0.20100000000000001</v>
      </c>
      <c r="T37" s="20">
        <v>0.13700000000000001</v>
      </c>
      <c r="U37" s="20">
        <v>0.13500000000000001</v>
      </c>
      <c r="V37" s="20">
        <v>0.129</v>
      </c>
      <c r="W37" s="20">
        <v>0.13300000000000001</v>
      </c>
      <c r="X37" s="20">
        <v>0.112</v>
      </c>
      <c r="Y37" s="20">
        <v>0.1</v>
      </c>
      <c r="Z37" s="20">
        <v>8.6999999999999994E-2</v>
      </c>
      <c r="AA37" s="20">
        <v>8.1000000000000003E-2</v>
      </c>
      <c r="AB37" s="20">
        <v>7.0000000000000007E-2</v>
      </c>
      <c r="AC37" s="20">
        <v>5.8000000000000003E-2</v>
      </c>
      <c r="AD37" s="20">
        <v>5.0999999999999997E-2</v>
      </c>
      <c r="AE37" s="20">
        <v>4.1000000000000002E-2</v>
      </c>
      <c r="AF37" s="20">
        <v>3.5000000000000003E-2</v>
      </c>
    </row>
    <row r="38" spans="1:32" ht="13.2">
      <c r="A38" s="20" t="s">
        <v>199</v>
      </c>
      <c r="B38" s="20">
        <v>5.2999999999999999E-2</v>
      </c>
      <c r="C38" s="20">
        <v>5.3999999999999999E-2</v>
      </c>
      <c r="D38" s="20">
        <v>5.3999999999999999E-2</v>
      </c>
      <c r="E38" s="20">
        <v>5.2999999999999999E-2</v>
      </c>
      <c r="F38" s="20">
        <v>5.1999999999999998E-2</v>
      </c>
      <c r="G38" s="20">
        <v>5.0999999999999997E-2</v>
      </c>
      <c r="H38" s="20">
        <v>4.3999999999999997E-2</v>
      </c>
      <c r="I38" s="20">
        <v>0.04</v>
      </c>
      <c r="J38" s="20">
        <v>3.9E-2</v>
      </c>
      <c r="K38" s="20">
        <v>3.7999999999999999E-2</v>
      </c>
      <c r="L38" s="20">
        <v>3.5999999999999997E-2</v>
      </c>
      <c r="M38" s="20">
        <v>2.7E-2</v>
      </c>
      <c r="N38" s="20">
        <v>2.4E-2</v>
      </c>
      <c r="O38" s="20">
        <v>1.6E-2</v>
      </c>
      <c r="P38" s="20">
        <v>8.9999999999999993E-3</v>
      </c>
      <c r="Q38" s="20">
        <v>5.0000000000000001E-3</v>
      </c>
      <c r="R38" s="20">
        <v>3.0000000000000001E-3</v>
      </c>
      <c r="S38" s="20">
        <v>3.0000000000000001E-3</v>
      </c>
      <c r="T38" s="20">
        <v>2E-3</v>
      </c>
      <c r="U38" s="20">
        <v>2E-3</v>
      </c>
      <c r="V38" s="20">
        <v>2E-3</v>
      </c>
      <c r="W38" s="20">
        <v>2E-3</v>
      </c>
      <c r="X38" s="20">
        <v>2E-3</v>
      </c>
      <c r="Y38" s="20">
        <v>2E-3</v>
      </c>
      <c r="Z38" s="20">
        <v>2E-3</v>
      </c>
      <c r="AA38" s="20">
        <v>2E-3</v>
      </c>
      <c r="AB38" s="20">
        <v>2E-3</v>
      </c>
      <c r="AC38" s="20">
        <v>2E-3</v>
      </c>
      <c r="AD38" s="20">
        <v>2E-3</v>
      </c>
      <c r="AE38" s="20">
        <v>2E-3</v>
      </c>
      <c r="AF38" s="20">
        <v>2E-3</v>
      </c>
    </row>
    <row r="39" spans="1:32" ht="13.2">
      <c r="A39" s="20" t="s">
        <v>200</v>
      </c>
      <c r="B39" s="20">
        <v>3.0000000000000001E-3</v>
      </c>
      <c r="C39" s="20">
        <v>3.0000000000000001E-3</v>
      </c>
      <c r="D39" s="20">
        <v>3.0000000000000001E-3</v>
      </c>
      <c r="E39" s="20">
        <v>3.0000000000000001E-3</v>
      </c>
      <c r="F39" s="20">
        <v>3.0000000000000001E-3</v>
      </c>
      <c r="G39" s="20">
        <v>3.0000000000000001E-3</v>
      </c>
      <c r="H39" s="20">
        <v>3.0000000000000001E-3</v>
      </c>
      <c r="I39" s="20">
        <v>3.0000000000000001E-3</v>
      </c>
      <c r="J39" s="20">
        <v>3.0000000000000001E-3</v>
      </c>
      <c r="K39" s="20">
        <v>3.0000000000000001E-3</v>
      </c>
      <c r="L39" s="20">
        <v>3.0000000000000001E-3</v>
      </c>
      <c r="M39" s="20">
        <v>3.0000000000000001E-3</v>
      </c>
      <c r="N39" s="20">
        <v>3.0000000000000001E-3</v>
      </c>
      <c r="O39" s="20">
        <v>3.0000000000000001E-3</v>
      </c>
      <c r="P39" s="20">
        <v>3.0000000000000001E-3</v>
      </c>
      <c r="Q39" s="20">
        <v>3.0000000000000001E-3</v>
      </c>
      <c r="R39" s="20">
        <v>3.0000000000000001E-3</v>
      </c>
      <c r="S39" s="20">
        <v>3.0000000000000001E-3</v>
      </c>
      <c r="T39" s="20">
        <v>3.0000000000000001E-3</v>
      </c>
      <c r="U39" s="20">
        <v>3.0000000000000001E-3</v>
      </c>
      <c r="V39" s="20">
        <v>3.0000000000000001E-3</v>
      </c>
      <c r="W39" s="20">
        <v>3.0000000000000001E-3</v>
      </c>
      <c r="X39" s="20">
        <v>3.0000000000000001E-3</v>
      </c>
      <c r="Y39" s="20">
        <v>3.0000000000000001E-3</v>
      </c>
      <c r="Z39" s="20">
        <v>3.0000000000000001E-3</v>
      </c>
      <c r="AA39" s="20">
        <v>3.0000000000000001E-3</v>
      </c>
      <c r="AB39" s="20">
        <v>3.0000000000000001E-3</v>
      </c>
      <c r="AC39" s="20">
        <v>3.0000000000000001E-3</v>
      </c>
      <c r="AD39" s="20">
        <v>3.0000000000000001E-3</v>
      </c>
      <c r="AE39" s="20">
        <v>3.0000000000000001E-3</v>
      </c>
      <c r="AF39" s="20">
        <v>3.0000000000000001E-3</v>
      </c>
    </row>
    <row r="40" spans="1:32" ht="13.2">
      <c r="A40" s="20" t="s">
        <v>201</v>
      </c>
      <c r="B40" s="20">
        <v>1E-3</v>
      </c>
      <c r="C40" s="20">
        <v>1E-3</v>
      </c>
      <c r="D40" s="20">
        <v>1E-3</v>
      </c>
      <c r="E40" s="20">
        <v>1E-3</v>
      </c>
      <c r="F40" s="20">
        <v>1E-3</v>
      </c>
      <c r="G40" s="20">
        <v>1E-3</v>
      </c>
      <c r="H40" s="20">
        <v>1E-3</v>
      </c>
      <c r="I40" s="20">
        <v>1E-3</v>
      </c>
      <c r="J40" s="20">
        <v>1E-3</v>
      </c>
      <c r="K40" s="20">
        <v>1E-3</v>
      </c>
      <c r="L40" s="20">
        <v>1E-3</v>
      </c>
      <c r="M40" s="20">
        <v>1E-3</v>
      </c>
      <c r="N40" s="20">
        <v>1E-3</v>
      </c>
      <c r="O40" s="20">
        <v>1E-3</v>
      </c>
      <c r="P40" s="20">
        <v>1E-3</v>
      </c>
      <c r="Q40" s="20">
        <v>1E-3</v>
      </c>
      <c r="R40" s="20">
        <v>1E-3</v>
      </c>
      <c r="S40" s="20">
        <v>1E-3</v>
      </c>
      <c r="T40" s="20">
        <v>1E-3</v>
      </c>
      <c r="U40" s="20">
        <v>1E-3</v>
      </c>
      <c r="V40" s="20">
        <v>1E-3</v>
      </c>
      <c r="W40" s="20">
        <v>1E-3</v>
      </c>
      <c r="X40" s="20">
        <v>1E-3</v>
      </c>
      <c r="Y40" s="20">
        <v>1E-3</v>
      </c>
      <c r="Z40" s="20">
        <v>1E-3</v>
      </c>
      <c r="AA40" s="20">
        <v>1E-3</v>
      </c>
      <c r="AB40" s="20">
        <v>1E-3</v>
      </c>
      <c r="AC40" s="20">
        <v>1E-3</v>
      </c>
      <c r="AD40" s="20">
        <v>1E-3</v>
      </c>
      <c r="AE40" s="20">
        <v>1E-3</v>
      </c>
      <c r="AF40" s="20">
        <v>1E-3</v>
      </c>
    </row>
    <row r="41" spans="1:32" ht="13.2">
      <c r="A41" s="20" t="s">
        <v>202</v>
      </c>
    </row>
    <row r="42" spans="1:32" ht="13.2">
      <c r="A42" s="20" t="s">
        <v>196</v>
      </c>
      <c r="B42" s="20">
        <v>1.417</v>
      </c>
      <c r="C42" s="20">
        <v>1.3280000000000001</v>
      </c>
      <c r="D42" s="20">
        <v>1.1859999999999999</v>
      </c>
      <c r="E42" s="20">
        <v>1.1479999999999999</v>
      </c>
      <c r="F42" s="20">
        <v>1.105</v>
      </c>
      <c r="G42" s="20">
        <v>1.087</v>
      </c>
      <c r="H42" s="20">
        <v>1.056</v>
      </c>
      <c r="I42" s="20">
        <v>1.0029999999999999</v>
      </c>
      <c r="J42" s="20">
        <v>0.95299999999999996</v>
      </c>
      <c r="K42" s="20">
        <v>0.95</v>
      </c>
      <c r="L42" s="20">
        <v>0.95399999999999996</v>
      </c>
      <c r="M42" s="20">
        <v>0.92300000000000004</v>
      </c>
      <c r="N42" s="20">
        <v>0.93300000000000005</v>
      </c>
      <c r="O42" s="20">
        <v>0.84199999999999997</v>
      </c>
      <c r="P42" s="20">
        <v>0.78200000000000003</v>
      </c>
      <c r="Q42" s="20">
        <v>0.68799999999999994</v>
      </c>
      <c r="R42" s="20">
        <v>0.57899999999999996</v>
      </c>
      <c r="S42" s="20">
        <v>0.48499999999999999</v>
      </c>
      <c r="T42" s="20">
        <v>0.41699999999999998</v>
      </c>
      <c r="U42" s="20">
        <v>0.36099999999999999</v>
      </c>
      <c r="V42" s="20">
        <v>0.308</v>
      </c>
      <c r="W42" s="20">
        <v>0.26800000000000002</v>
      </c>
      <c r="X42" s="20">
        <v>0.23400000000000001</v>
      </c>
      <c r="Y42" s="20">
        <v>0.20599999999999999</v>
      </c>
      <c r="Z42" s="20">
        <v>0.17599999999999999</v>
      </c>
      <c r="AA42" s="20">
        <v>0.16</v>
      </c>
      <c r="AB42" s="20">
        <v>0.14399999999999999</v>
      </c>
      <c r="AC42" s="20">
        <v>0.13100000000000001</v>
      </c>
      <c r="AD42" s="20">
        <v>0.11700000000000001</v>
      </c>
      <c r="AE42" s="20">
        <v>0.115</v>
      </c>
      <c r="AF42" s="20">
        <v>0.106</v>
      </c>
    </row>
    <row r="43" spans="1:32" ht="13.2">
      <c r="A43" s="20" t="s">
        <v>197</v>
      </c>
      <c r="B43" s="20">
        <v>18.361999999999998</v>
      </c>
      <c r="C43" s="20">
        <v>16.440000000000001</v>
      </c>
      <c r="D43" s="20">
        <v>13.96</v>
      </c>
      <c r="E43" s="20">
        <v>12.352</v>
      </c>
      <c r="F43" s="20">
        <v>11.176</v>
      </c>
      <c r="G43" s="20">
        <v>10.287000000000001</v>
      </c>
      <c r="H43" s="20">
        <v>9.3710000000000004</v>
      </c>
      <c r="I43" s="20">
        <v>8.5570000000000004</v>
      </c>
      <c r="J43" s="20">
        <v>7.7569999999999997</v>
      </c>
      <c r="K43" s="20">
        <v>7.5049999999999999</v>
      </c>
      <c r="L43" s="20">
        <v>7.3609999999999998</v>
      </c>
      <c r="M43" s="20">
        <v>7.8170000000000002</v>
      </c>
      <c r="N43" s="20">
        <v>8.8490000000000002</v>
      </c>
      <c r="O43" s="20">
        <v>7.3220000000000001</v>
      </c>
      <c r="P43" s="20">
        <v>6.82</v>
      </c>
      <c r="Q43" s="20">
        <v>5.7949999999999999</v>
      </c>
      <c r="R43" s="20">
        <v>4.4400000000000004</v>
      </c>
      <c r="S43" s="20">
        <v>3.5470000000000002</v>
      </c>
      <c r="T43" s="20">
        <v>3.0590000000000002</v>
      </c>
      <c r="U43" s="20">
        <v>2.8140000000000001</v>
      </c>
      <c r="V43" s="20">
        <v>2.4580000000000002</v>
      </c>
      <c r="W43" s="20">
        <v>2.2109999999999999</v>
      </c>
      <c r="X43" s="20">
        <v>2.0139999999999998</v>
      </c>
      <c r="Y43" s="20">
        <v>1.8420000000000001</v>
      </c>
      <c r="Z43" s="20">
        <v>1.6160000000000001</v>
      </c>
      <c r="AA43" s="20">
        <v>1.5469999999999999</v>
      </c>
      <c r="AB43" s="20">
        <v>1.464</v>
      </c>
      <c r="AC43" s="20">
        <v>1.41</v>
      </c>
      <c r="AD43" s="20">
        <v>1.274</v>
      </c>
      <c r="AE43" s="20">
        <v>1.2669999999999999</v>
      </c>
      <c r="AF43" s="20">
        <v>1.226</v>
      </c>
    </row>
    <row r="44" spans="1:32" ht="13.2">
      <c r="A44" s="20" t="s">
        <v>198</v>
      </c>
      <c r="B44" s="20">
        <v>6.282</v>
      </c>
      <c r="C44" s="20">
        <v>6.452</v>
      </c>
      <c r="D44" s="20">
        <v>6.5629999999999997</v>
      </c>
      <c r="E44" s="20">
        <v>6.3710000000000004</v>
      </c>
      <c r="F44" s="20">
        <v>6.13</v>
      </c>
      <c r="G44" s="20">
        <v>5.9390000000000001</v>
      </c>
      <c r="H44" s="20">
        <v>5.7389999999999999</v>
      </c>
      <c r="I44" s="20">
        <v>5.4880000000000004</v>
      </c>
      <c r="J44" s="20">
        <v>5.2169999999999996</v>
      </c>
      <c r="K44" s="20">
        <v>5.0970000000000004</v>
      </c>
      <c r="L44" s="20">
        <v>4.93</v>
      </c>
      <c r="M44" s="20">
        <v>4.7240000000000002</v>
      </c>
      <c r="N44" s="20">
        <v>4.5270000000000001</v>
      </c>
      <c r="O44" s="20">
        <v>4.2869999999999999</v>
      </c>
      <c r="P44" s="20">
        <v>4.0030000000000001</v>
      </c>
      <c r="Q44" s="20">
        <v>3.633</v>
      </c>
      <c r="R44" s="20">
        <v>3.23</v>
      </c>
      <c r="S44" s="20">
        <v>2.8180000000000001</v>
      </c>
      <c r="T44" s="20">
        <v>2.456</v>
      </c>
      <c r="U44" s="20">
        <v>2.1059999999999999</v>
      </c>
      <c r="V44" s="20">
        <v>1.804</v>
      </c>
      <c r="W44" s="20">
        <v>1.5429999999999999</v>
      </c>
      <c r="X44" s="20">
        <v>1.33</v>
      </c>
      <c r="Y44" s="20">
        <v>1.161</v>
      </c>
      <c r="Z44" s="20">
        <v>1.0009999999999999</v>
      </c>
      <c r="AA44" s="20">
        <v>0.88600000000000001</v>
      </c>
      <c r="AB44" s="20">
        <v>0.78</v>
      </c>
      <c r="AC44" s="20">
        <v>0.69699999999999995</v>
      </c>
      <c r="AD44" s="20">
        <v>0.59199999999999997</v>
      </c>
      <c r="AE44" s="20">
        <v>0.57299999999999995</v>
      </c>
      <c r="AF44" s="20">
        <v>0.50900000000000001</v>
      </c>
    </row>
    <row r="45" spans="1:32" ht="13.2">
      <c r="A45" s="20" t="s">
        <v>199</v>
      </c>
      <c r="B45" s="20">
        <v>0.32600000000000001</v>
      </c>
      <c r="C45" s="20">
        <v>0.33500000000000002</v>
      </c>
      <c r="D45" s="20">
        <v>0.32600000000000001</v>
      </c>
      <c r="E45" s="20">
        <v>0.32800000000000001</v>
      </c>
      <c r="F45" s="20">
        <v>0.32300000000000001</v>
      </c>
      <c r="G45" s="20">
        <v>0.32200000000000001</v>
      </c>
      <c r="H45" s="20">
        <v>0.318</v>
      </c>
      <c r="I45" s="20">
        <v>0.3</v>
      </c>
      <c r="J45" s="20">
        <v>0.28399999999999997</v>
      </c>
      <c r="K45" s="20">
        <v>0.28100000000000003</v>
      </c>
      <c r="L45" s="20">
        <v>0.28000000000000003</v>
      </c>
      <c r="M45" s="20">
        <v>0.252</v>
      </c>
      <c r="N45" s="20">
        <v>0.23699999999999999</v>
      </c>
      <c r="O45" s="20">
        <v>0.223</v>
      </c>
      <c r="P45" s="20">
        <v>0.20499999999999999</v>
      </c>
      <c r="Q45" s="20">
        <v>0.184</v>
      </c>
      <c r="R45" s="20">
        <v>0.16</v>
      </c>
      <c r="S45" s="20">
        <v>0.13600000000000001</v>
      </c>
      <c r="T45" s="20">
        <v>0.11600000000000001</v>
      </c>
      <c r="U45" s="20">
        <v>9.5000000000000001E-2</v>
      </c>
      <c r="V45" s="20">
        <v>7.8E-2</v>
      </c>
      <c r="W45" s="20">
        <v>6.2E-2</v>
      </c>
      <c r="X45" s="20">
        <v>5.1999999999999998E-2</v>
      </c>
      <c r="Y45" s="20">
        <v>4.3999999999999997E-2</v>
      </c>
      <c r="Z45" s="20">
        <v>3.9E-2</v>
      </c>
      <c r="AA45" s="20">
        <v>3.3000000000000002E-2</v>
      </c>
      <c r="AB45" s="20">
        <v>2.8000000000000001E-2</v>
      </c>
      <c r="AC45" s="20">
        <v>2.3E-2</v>
      </c>
      <c r="AD45" s="20">
        <v>1.6E-2</v>
      </c>
      <c r="AE45" s="20">
        <v>1.6E-2</v>
      </c>
      <c r="AF45" s="20">
        <v>1.2999999999999999E-2</v>
      </c>
    </row>
    <row r="46" spans="1:32" ht="13.2">
      <c r="A46" s="20" t="s">
        <v>200</v>
      </c>
      <c r="B46" s="20">
        <v>3.0000000000000001E-3</v>
      </c>
      <c r="C46" s="20">
        <v>3.0000000000000001E-3</v>
      </c>
      <c r="D46" s="20">
        <v>3.0000000000000001E-3</v>
      </c>
      <c r="E46" s="20">
        <v>3.0000000000000001E-3</v>
      </c>
      <c r="F46" s="20">
        <v>3.0000000000000001E-3</v>
      </c>
      <c r="G46" s="20">
        <v>3.0000000000000001E-3</v>
      </c>
      <c r="H46" s="20">
        <v>3.0000000000000001E-3</v>
      </c>
      <c r="I46" s="20">
        <v>3.0000000000000001E-3</v>
      </c>
      <c r="J46" s="20">
        <v>3.0000000000000001E-3</v>
      </c>
      <c r="K46" s="20">
        <v>3.0000000000000001E-3</v>
      </c>
      <c r="L46" s="20">
        <v>3.0000000000000001E-3</v>
      </c>
      <c r="M46" s="20">
        <v>3.0000000000000001E-3</v>
      </c>
      <c r="N46" s="20">
        <v>3.0000000000000001E-3</v>
      </c>
      <c r="O46" s="20">
        <v>3.0000000000000001E-3</v>
      </c>
      <c r="P46" s="20">
        <v>3.0000000000000001E-3</v>
      </c>
      <c r="Q46" s="20">
        <v>3.0000000000000001E-3</v>
      </c>
      <c r="R46" s="20">
        <v>3.0000000000000001E-3</v>
      </c>
      <c r="S46" s="20">
        <v>3.0000000000000001E-3</v>
      </c>
      <c r="T46" s="20">
        <v>3.0000000000000001E-3</v>
      </c>
      <c r="U46" s="20">
        <v>3.0000000000000001E-3</v>
      </c>
      <c r="V46" s="20">
        <v>3.0000000000000001E-3</v>
      </c>
      <c r="W46" s="20">
        <v>3.0000000000000001E-3</v>
      </c>
      <c r="X46" s="20">
        <v>3.0000000000000001E-3</v>
      </c>
      <c r="Y46" s="20">
        <v>3.0000000000000001E-3</v>
      </c>
      <c r="Z46" s="20">
        <v>3.0000000000000001E-3</v>
      </c>
      <c r="AA46" s="20">
        <v>3.0000000000000001E-3</v>
      </c>
      <c r="AB46" s="20">
        <v>3.0000000000000001E-3</v>
      </c>
      <c r="AC46" s="20">
        <v>3.0000000000000001E-3</v>
      </c>
      <c r="AD46" s="20">
        <v>3.0000000000000001E-3</v>
      </c>
      <c r="AE46" s="20">
        <v>3.0000000000000001E-3</v>
      </c>
      <c r="AF46" s="20">
        <v>3.0000000000000001E-3</v>
      </c>
    </row>
    <row r="47" spans="1:32" ht="13.2">
      <c r="A47" s="20" t="s">
        <v>201</v>
      </c>
      <c r="B47" s="20">
        <v>2E-3</v>
      </c>
      <c r="C47" s="20">
        <v>2E-3</v>
      </c>
      <c r="D47" s="20">
        <v>2E-3</v>
      </c>
      <c r="E47" s="20">
        <v>2E-3</v>
      </c>
      <c r="F47" s="20">
        <v>2E-3</v>
      </c>
      <c r="G47" s="20">
        <v>2E-3</v>
      </c>
      <c r="H47" s="20">
        <v>2E-3</v>
      </c>
      <c r="I47" s="20">
        <v>2E-3</v>
      </c>
      <c r="J47" s="20">
        <v>2E-3</v>
      </c>
      <c r="K47" s="20">
        <v>2E-3</v>
      </c>
      <c r="L47" s="20">
        <v>2E-3</v>
      </c>
      <c r="M47" s="20">
        <v>2E-3</v>
      </c>
      <c r="N47" s="20">
        <v>2E-3</v>
      </c>
      <c r="O47" s="20">
        <v>2E-3</v>
      </c>
      <c r="P47" s="20">
        <v>2E-3</v>
      </c>
      <c r="Q47" s="20">
        <v>2E-3</v>
      </c>
      <c r="R47" s="20">
        <v>2E-3</v>
      </c>
      <c r="S47" s="20">
        <v>2E-3</v>
      </c>
      <c r="T47" s="20">
        <v>2E-3</v>
      </c>
      <c r="U47" s="20">
        <v>2E-3</v>
      </c>
      <c r="V47" s="20">
        <v>2E-3</v>
      </c>
      <c r="W47" s="20">
        <v>2E-3</v>
      </c>
      <c r="X47" s="20">
        <v>2E-3</v>
      </c>
      <c r="Y47" s="20">
        <v>2E-3</v>
      </c>
      <c r="Z47" s="20">
        <v>2E-3</v>
      </c>
      <c r="AA47" s="20">
        <v>2E-3</v>
      </c>
      <c r="AB47" s="20">
        <v>2E-3</v>
      </c>
      <c r="AC47" s="20">
        <v>2E-3</v>
      </c>
      <c r="AD47" s="20">
        <v>2E-3</v>
      </c>
      <c r="AE47" s="20">
        <v>2E-3</v>
      </c>
      <c r="AF47" s="20">
        <v>2E-3</v>
      </c>
    </row>
    <row r="48" spans="1:32" ht="13.2">
      <c r="A48" s="20" t="s">
        <v>203</v>
      </c>
    </row>
    <row r="49" spans="1:32" ht="13.2">
      <c r="A49" s="20" t="s">
        <v>196</v>
      </c>
      <c r="B49" s="20">
        <v>0.93500000000000005</v>
      </c>
      <c r="C49" s="20">
        <v>0.93</v>
      </c>
      <c r="D49" s="20">
        <v>0.93400000000000005</v>
      </c>
      <c r="E49" s="20">
        <v>0.94799999999999995</v>
      </c>
      <c r="F49" s="20">
        <v>0.98099999999999998</v>
      </c>
      <c r="G49" s="20">
        <v>0.96899999999999997</v>
      </c>
      <c r="H49" s="20">
        <v>0.94</v>
      </c>
      <c r="I49" s="20">
        <v>0.85499999999999998</v>
      </c>
      <c r="J49" s="20">
        <v>0.82</v>
      </c>
      <c r="K49" s="20">
        <v>0.80800000000000005</v>
      </c>
      <c r="L49" s="20">
        <v>0.79600000000000004</v>
      </c>
      <c r="M49" s="20">
        <v>0.72899999999999998</v>
      </c>
      <c r="N49" s="20">
        <v>0.66600000000000004</v>
      </c>
      <c r="O49" s="20">
        <v>0.60199999999999998</v>
      </c>
      <c r="P49" s="20">
        <v>0.53</v>
      </c>
      <c r="Q49" s="20">
        <v>0.46400000000000002</v>
      </c>
      <c r="R49" s="20">
        <v>0.40799999999999997</v>
      </c>
      <c r="S49" s="20">
        <v>0.36899999999999999</v>
      </c>
      <c r="T49" s="20">
        <v>0.33</v>
      </c>
      <c r="U49" s="20">
        <v>0.29599999999999999</v>
      </c>
      <c r="V49" s="20">
        <v>0.26900000000000002</v>
      </c>
      <c r="W49" s="20">
        <v>0.246</v>
      </c>
      <c r="X49" s="20">
        <v>0.22600000000000001</v>
      </c>
      <c r="Y49" s="20">
        <v>0.20899999999999999</v>
      </c>
      <c r="Z49" s="20">
        <v>0.19500000000000001</v>
      </c>
      <c r="AA49" s="20">
        <v>0.183</v>
      </c>
      <c r="AB49" s="20">
        <v>0.17399999999999999</v>
      </c>
      <c r="AC49" s="20">
        <v>0.16500000000000001</v>
      </c>
      <c r="AD49" s="20">
        <v>0.157</v>
      </c>
      <c r="AE49" s="20">
        <v>0.15</v>
      </c>
      <c r="AF49" s="20">
        <v>0.14499999999999999</v>
      </c>
    </row>
    <row r="50" spans="1:32" ht="13.2">
      <c r="A50" s="20" t="s">
        <v>197</v>
      </c>
      <c r="B50" s="20">
        <v>4.5990000000000002</v>
      </c>
      <c r="C50" s="20">
        <v>4.5819999999999999</v>
      </c>
      <c r="D50" s="20">
        <v>4.6029999999999998</v>
      </c>
      <c r="E50" s="20">
        <v>4.6509999999999998</v>
      </c>
      <c r="F50" s="20">
        <v>4.7919999999999998</v>
      </c>
      <c r="G50" s="20">
        <v>4.6609999999999996</v>
      </c>
      <c r="H50" s="20">
        <v>4.4109999999999996</v>
      </c>
      <c r="I50" s="20">
        <v>3.9550000000000001</v>
      </c>
      <c r="J50" s="20">
        <v>3.7429999999999999</v>
      </c>
      <c r="K50" s="20">
        <v>3.6469999999999998</v>
      </c>
      <c r="L50" s="20">
        <v>3.6059999999999999</v>
      </c>
      <c r="M50" s="20">
        <v>3.351</v>
      </c>
      <c r="N50" s="20">
        <v>3.1829999999999998</v>
      </c>
      <c r="O50" s="20">
        <v>3.0430000000000001</v>
      </c>
      <c r="P50" s="20">
        <v>2.8029999999999999</v>
      </c>
      <c r="Q50" s="20">
        <v>2.5990000000000002</v>
      </c>
      <c r="R50" s="20">
        <v>2.4380000000000002</v>
      </c>
      <c r="S50" s="20">
        <v>2.3170000000000002</v>
      </c>
      <c r="T50" s="20">
        <v>2.1930000000000001</v>
      </c>
      <c r="U50" s="20">
        <v>2.0920000000000001</v>
      </c>
      <c r="V50" s="20">
        <v>2</v>
      </c>
      <c r="W50" s="20">
        <v>1.923</v>
      </c>
      <c r="X50" s="20">
        <v>1.8460000000000001</v>
      </c>
      <c r="Y50" s="20">
        <v>1.7829999999999999</v>
      </c>
      <c r="Z50" s="20">
        <v>1.724</v>
      </c>
      <c r="AA50" s="20">
        <v>1.671</v>
      </c>
      <c r="AB50" s="20">
        <v>1.6259999999999999</v>
      </c>
      <c r="AC50" s="20">
        <v>1.5860000000000001</v>
      </c>
      <c r="AD50" s="20">
        <v>1.5489999999999999</v>
      </c>
      <c r="AE50" s="20">
        <v>1.5169999999999999</v>
      </c>
      <c r="AF50" s="20">
        <v>1.492</v>
      </c>
    </row>
    <row r="51" spans="1:32" ht="13.2">
      <c r="A51" s="20" t="s">
        <v>198</v>
      </c>
      <c r="B51" s="20">
        <v>24.928999999999998</v>
      </c>
      <c r="C51" s="20">
        <v>23.901</v>
      </c>
      <c r="D51" s="20">
        <v>22.902000000000001</v>
      </c>
      <c r="E51" s="20">
        <v>21.408999999999999</v>
      </c>
      <c r="F51" s="20">
        <v>20.079999999999998</v>
      </c>
      <c r="G51" s="20">
        <v>18.396999999999998</v>
      </c>
      <c r="H51" s="20">
        <v>16.646000000000001</v>
      </c>
      <c r="I51" s="20">
        <v>14.994</v>
      </c>
      <c r="J51" s="20">
        <v>13.956</v>
      </c>
      <c r="K51" s="20">
        <v>13.146000000000001</v>
      </c>
      <c r="L51" s="20">
        <v>12.409000000000001</v>
      </c>
      <c r="M51" s="20">
        <v>11.311</v>
      </c>
      <c r="N51" s="20">
        <v>10.057</v>
      </c>
      <c r="O51" s="20">
        <v>8.9489999999999998</v>
      </c>
      <c r="P51" s="20">
        <v>7.8570000000000002</v>
      </c>
      <c r="Q51" s="20">
        <v>6.923</v>
      </c>
      <c r="R51" s="20">
        <v>6.133</v>
      </c>
      <c r="S51" s="20">
        <v>5.6150000000000002</v>
      </c>
      <c r="T51" s="20">
        <v>5.0590000000000002</v>
      </c>
      <c r="U51" s="20">
        <v>4.58</v>
      </c>
      <c r="V51" s="20">
        <v>4.1689999999999996</v>
      </c>
      <c r="W51" s="20">
        <v>3.8220000000000001</v>
      </c>
      <c r="X51" s="20">
        <v>3.5179999999999998</v>
      </c>
      <c r="Y51" s="20">
        <v>3.2690000000000001</v>
      </c>
      <c r="Z51" s="20">
        <v>3.06</v>
      </c>
      <c r="AA51" s="20">
        <v>2.883</v>
      </c>
      <c r="AB51" s="20">
        <v>2.742</v>
      </c>
      <c r="AC51" s="20">
        <v>2.6160000000000001</v>
      </c>
      <c r="AD51" s="20">
        <v>2.5009999999999999</v>
      </c>
      <c r="AE51" s="20">
        <v>2.3959999999999999</v>
      </c>
      <c r="AF51" s="20">
        <v>2.3149999999999999</v>
      </c>
    </row>
    <row r="52" spans="1:32" ht="13.2">
      <c r="A52" s="20" t="s">
        <v>199</v>
      </c>
      <c r="B52" s="20">
        <v>1.0469999999999999</v>
      </c>
      <c r="C52" s="20">
        <v>0.998</v>
      </c>
      <c r="D52" s="20">
        <v>0.94699999999999995</v>
      </c>
      <c r="E52" s="20">
        <v>0.90700000000000003</v>
      </c>
      <c r="F52" s="20">
        <v>0.88200000000000001</v>
      </c>
      <c r="G52" s="20">
        <v>0.83499999999999996</v>
      </c>
      <c r="H52" s="20">
        <v>0.78300000000000003</v>
      </c>
      <c r="I52" s="20">
        <v>0.67500000000000004</v>
      </c>
      <c r="J52" s="20">
        <v>0.625</v>
      </c>
      <c r="K52" s="20">
        <v>0.59099999999999997</v>
      </c>
      <c r="L52" s="20">
        <v>0.56100000000000005</v>
      </c>
      <c r="M52" s="20">
        <v>0.48699999999999999</v>
      </c>
      <c r="N52" s="20">
        <v>0.42199999999999999</v>
      </c>
      <c r="O52" s="20">
        <v>0.36399999999999999</v>
      </c>
      <c r="P52" s="20">
        <v>0.30599999999999999</v>
      </c>
      <c r="Q52" s="20">
        <v>0.255</v>
      </c>
      <c r="R52" s="20">
        <v>0.21099999999999999</v>
      </c>
      <c r="S52" s="20">
        <v>0.182</v>
      </c>
      <c r="T52" s="20">
        <v>0.151</v>
      </c>
      <c r="U52" s="20">
        <v>0.126</v>
      </c>
      <c r="V52" s="20">
        <v>0.106</v>
      </c>
      <c r="W52" s="20">
        <v>0.09</v>
      </c>
      <c r="X52" s="20">
        <v>7.5999999999999998E-2</v>
      </c>
      <c r="Y52" s="20">
        <v>6.5000000000000002E-2</v>
      </c>
      <c r="Z52" s="20">
        <v>5.7000000000000002E-2</v>
      </c>
      <c r="AA52" s="20">
        <v>4.9000000000000002E-2</v>
      </c>
      <c r="AB52" s="20">
        <v>4.2999999999999997E-2</v>
      </c>
      <c r="AC52" s="20">
        <v>3.7999999999999999E-2</v>
      </c>
      <c r="AD52" s="20">
        <v>3.3000000000000002E-2</v>
      </c>
      <c r="AE52" s="20">
        <v>2.9000000000000001E-2</v>
      </c>
      <c r="AF52" s="20">
        <v>2.5999999999999999E-2</v>
      </c>
    </row>
    <row r="53" spans="1:32" ht="13.2">
      <c r="A53" s="20" t="s">
        <v>200</v>
      </c>
      <c r="B53" s="20">
        <v>0.01</v>
      </c>
      <c r="C53" s="20">
        <v>0.01</v>
      </c>
      <c r="D53" s="20">
        <v>8.9999999999999993E-3</v>
      </c>
      <c r="E53" s="20">
        <v>8.9999999999999993E-3</v>
      </c>
      <c r="F53" s="20">
        <v>8.9999999999999993E-3</v>
      </c>
      <c r="G53" s="20">
        <v>8.9999999999999993E-3</v>
      </c>
      <c r="H53" s="20">
        <v>8.9999999999999993E-3</v>
      </c>
      <c r="I53" s="20">
        <v>8.9999999999999993E-3</v>
      </c>
      <c r="J53" s="20">
        <v>8.9999999999999993E-3</v>
      </c>
      <c r="K53" s="20">
        <v>8.9999999999999993E-3</v>
      </c>
      <c r="L53" s="20">
        <v>8.9999999999999993E-3</v>
      </c>
      <c r="M53" s="20">
        <v>8.9999999999999993E-3</v>
      </c>
      <c r="N53" s="20">
        <v>8.9999999999999993E-3</v>
      </c>
      <c r="O53" s="20">
        <v>8.9999999999999993E-3</v>
      </c>
      <c r="P53" s="20">
        <v>8.9999999999999993E-3</v>
      </c>
      <c r="Q53" s="20">
        <v>8.9999999999999993E-3</v>
      </c>
      <c r="R53" s="20">
        <v>8.9999999999999993E-3</v>
      </c>
      <c r="S53" s="20">
        <v>8.9999999999999993E-3</v>
      </c>
      <c r="T53" s="20">
        <v>8.9999999999999993E-3</v>
      </c>
      <c r="U53" s="20">
        <v>8.9999999999999993E-3</v>
      </c>
      <c r="V53" s="20">
        <v>8.9999999999999993E-3</v>
      </c>
      <c r="W53" s="20">
        <v>8.9999999999999993E-3</v>
      </c>
      <c r="X53" s="20">
        <v>8.9999999999999993E-3</v>
      </c>
      <c r="Y53" s="20">
        <v>8.9999999999999993E-3</v>
      </c>
      <c r="Z53" s="20">
        <v>8.9999999999999993E-3</v>
      </c>
      <c r="AA53" s="20">
        <v>8.9999999999999993E-3</v>
      </c>
      <c r="AB53" s="20">
        <v>8.9999999999999993E-3</v>
      </c>
      <c r="AC53" s="20">
        <v>8.9999999999999993E-3</v>
      </c>
      <c r="AD53" s="20">
        <v>8.9999999999999993E-3</v>
      </c>
      <c r="AE53" s="20">
        <v>8.9999999999999993E-3</v>
      </c>
      <c r="AF53" s="20">
        <v>8.9999999999999993E-3</v>
      </c>
    </row>
    <row r="54" spans="1:32" ht="13.2">
      <c r="A54" s="20" t="s">
        <v>201</v>
      </c>
      <c r="B54" s="20">
        <v>4.0000000000000001E-3</v>
      </c>
      <c r="C54" s="20">
        <v>4.0000000000000001E-3</v>
      </c>
      <c r="D54" s="20">
        <v>4.0000000000000001E-3</v>
      </c>
      <c r="E54" s="20">
        <v>4.0000000000000001E-3</v>
      </c>
      <c r="F54" s="20">
        <v>4.0000000000000001E-3</v>
      </c>
      <c r="G54" s="20">
        <v>4.0000000000000001E-3</v>
      </c>
      <c r="H54" s="20">
        <v>4.0000000000000001E-3</v>
      </c>
      <c r="I54" s="20">
        <v>4.0000000000000001E-3</v>
      </c>
      <c r="J54" s="20">
        <v>3.0000000000000001E-3</v>
      </c>
      <c r="K54" s="20">
        <v>3.0000000000000001E-3</v>
      </c>
      <c r="L54" s="20">
        <v>4.0000000000000001E-3</v>
      </c>
      <c r="M54" s="20">
        <v>4.0000000000000001E-3</v>
      </c>
      <c r="N54" s="20">
        <v>3.0000000000000001E-3</v>
      </c>
      <c r="O54" s="20">
        <v>3.0000000000000001E-3</v>
      </c>
      <c r="P54" s="20">
        <v>3.0000000000000001E-3</v>
      </c>
      <c r="Q54" s="20">
        <v>3.0000000000000001E-3</v>
      </c>
      <c r="R54" s="20">
        <v>3.0000000000000001E-3</v>
      </c>
      <c r="S54" s="20">
        <v>4.0000000000000001E-3</v>
      </c>
      <c r="T54" s="20">
        <v>4.0000000000000001E-3</v>
      </c>
      <c r="U54" s="20">
        <v>4.0000000000000001E-3</v>
      </c>
      <c r="V54" s="20">
        <v>4.0000000000000001E-3</v>
      </c>
      <c r="W54" s="20">
        <v>4.0000000000000001E-3</v>
      </c>
      <c r="X54" s="20">
        <v>4.0000000000000001E-3</v>
      </c>
      <c r="Y54" s="20">
        <v>4.0000000000000001E-3</v>
      </c>
      <c r="Z54" s="20">
        <v>4.0000000000000001E-3</v>
      </c>
      <c r="AA54" s="20">
        <v>4.0000000000000001E-3</v>
      </c>
      <c r="AB54" s="20">
        <v>4.0000000000000001E-3</v>
      </c>
      <c r="AC54" s="20">
        <v>3.0000000000000001E-3</v>
      </c>
      <c r="AD54" s="20">
        <v>3.0000000000000001E-3</v>
      </c>
      <c r="AE54" s="20">
        <v>3.0000000000000001E-3</v>
      </c>
      <c r="AF54" s="20">
        <v>3.0000000000000001E-3</v>
      </c>
    </row>
    <row r="55" spans="1:32" ht="13.2">
      <c r="A55" s="20" t="s">
        <v>206</v>
      </c>
    </row>
    <row r="56" spans="1:32" ht="13.2">
      <c r="A56" s="20" t="s">
        <v>196</v>
      </c>
      <c r="B56" s="20">
        <v>2.0739999999999998</v>
      </c>
      <c r="C56" s="20">
        <v>1.9490000000000001</v>
      </c>
      <c r="D56" s="20">
        <v>1.766</v>
      </c>
      <c r="E56" s="20">
        <v>1.6319999999999999</v>
      </c>
      <c r="F56" s="20">
        <v>1.46</v>
      </c>
      <c r="G56" s="20">
        <v>1.296</v>
      </c>
      <c r="H56" s="20">
        <v>1.1859999999999999</v>
      </c>
      <c r="I56" s="20">
        <v>1.0669999999999999</v>
      </c>
      <c r="J56" s="20">
        <v>0.98599999999999999</v>
      </c>
      <c r="K56" s="20">
        <v>0.92600000000000005</v>
      </c>
      <c r="L56" s="20">
        <v>0.85699999999999998</v>
      </c>
      <c r="M56" s="20">
        <v>0.78500000000000003</v>
      </c>
      <c r="N56" s="20">
        <v>0.70199999999999996</v>
      </c>
      <c r="O56" s="20">
        <v>0.63800000000000001</v>
      </c>
      <c r="P56" s="20">
        <v>0.58799999999999997</v>
      </c>
      <c r="Q56" s="20">
        <v>0.53300000000000003</v>
      </c>
      <c r="R56" s="20">
        <v>0.47399999999999998</v>
      </c>
      <c r="S56" s="20">
        <v>0.434</v>
      </c>
      <c r="T56" s="20">
        <v>0.39800000000000002</v>
      </c>
      <c r="U56" s="20">
        <v>0.36199999999999999</v>
      </c>
      <c r="V56" s="20">
        <v>0.33</v>
      </c>
      <c r="W56" s="20">
        <v>0.31</v>
      </c>
      <c r="X56" s="20">
        <v>0.29299999999999998</v>
      </c>
      <c r="Y56" s="20">
        <v>0.27800000000000002</v>
      </c>
      <c r="Z56" s="20">
        <v>0.26100000000000001</v>
      </c>
      <c r="AA56" s="20">
        <v>0.248</v>
      </c>
      <c r="AB56" s="20">
        <v>0.224</v>
      </c>
      <c r="AC56" s="20">
        <v>0.214</v>
      </c>
      <c r="AD56" s="20">
        <v>0.20100000000000001</v>
      </c>
      <c r="AE56" s="20">
        <v>0.192</v>
      </c>
      <c r="AF56" s="20">
        <v>0.184</v>
      </c>
    </row>
    <row r="57" spans="1:32" ht="13.2">
      <c r="A57" s="20" t="s">
        <v>197</v>
      </c>
      <c r="B57" s="20">
        <v>23.187000000000001</v>
      </c>
      <c r="C57" s="20">
        <v>21.664999999999999</v>
      </c>
      <c r="D57" s="20">
        <v>19.521999999999998</v>
      </c>
      <c r="E57" s="20">
        <v>17.981999999999999</v>
      </c>
      <c r="F57" s="20">
        <v>16.210999999999999</v>
      </c>
      <c r="G57" s="20">
        <v>14.52</v>
      </c>
      <c r="H57" s="20">
        <v>13.378</v>
      </c>
      <c r="I57" s="20">
        <v>11.986000000000001</v>
      </c>
      <c r="J57" s="20">
        <v>10.922000000000001</v>
      </c>
      <c r="K57" s="20">
        <v>10.315</v>
      </c>
      <c r="L57" s="20">
        <v>9.7859999999999996</v>
      </c>
      <c r="M57" s="20">
        <v>9.2409999999999997</v>
      </c>
      <c r="N57" s="20">
        <v>8.6219999999999999</v>
      </c>
      <c r="O57" s="20">
        <v>8.0239999999999991</v>
      </c>
      <c r="P57" s="20">
        <v>7.65</v>
      </c>
      <c r="Q57" s="20">
        <v>7.1059999999999999</v>
      </c>
      <c r="R57" s="20">
        <v>6.2880000000000003</v>
      </c>
      <c r="S57" s="20">
        <v>5.8460000000000001</v>
      </c>
      <c r="T57" s="20">
        <v>5.4729999999999999</v>
      </c>
      <c r="U57" s="20">
        <v>5.0940000000000003</v>
      </c>
      <c r="V57" s="20">
        <v>4.702</v>
      </c>
      <c r="W57" s="20">
        <v>4.4180000000000001</v>
      </c>
      <c r="X57" s="20">
        <v>4.2050000000000001</v>
      </c>
      <c r="Y57" s="20">
        <v>4</v>
      </c>
      <c r="Z57" s="20">
        <v>3.8050000000000002</v>
      </c>
      <c r="AA57" s="20">
        <v>3.6070000000000002</v>
      </c>
      <c r="AB57" s="20">
        <v>3.3690000000000002</v>
      </c>
      <c r="AC57" s="20">
        <v>3.198</v>
      </c>
      <c r="AD57" s="20">
        <v>3.01</v>
      </c>
      <c r="AE57" s="20">
        <v>2.8319999999999999</v>
      </c>
      <c r="AF57" s="20">
        <v>2.681</v>
      </c>
    </row>
    <row r="58" spans="1:32" ht="13.2">
      <c r="A58" s="20" t="s">
        <v>198</v>
      </c>
      <c r="B58" s="20">
        <v>4.6130000000000004</v>
      </c>
      <c r="C58" s="20">
        <v>4.4669999999999996</v>
      </c>
      <c r="D58" s="20">
        <v>4.2210000000000001</v>
      </c>
      <c r="E58" s="20">
        <v>4.01</v>
      </c>
      <c r="F58" s="20">
        <v>3.6269999999999998</v>
      </c>
      <c r="G58" s="20">
        <v>3.2690000000000001</v>
      </c>
      <c r="H58" s="20">
        <v>3.0539999999999998</v>
      </c>
      <c r="I58" s="20">
        <v>2.762</v>
      </c>
      <c r="J58" s="20">
        <v>2.6259999999999999</v>
      </c>
      <c r="K58" s="20">
        <v>2.3959999999999999</v>
      </c>
      <c r="L58" s="20">
        <v>2.238</v>
      </c>
      <c r="M58" s="20">
        <v>1.996</v>
      </c>
      <c r="N58" s="20">
        <v>1.8009999999999999</v>
      </c>
      <c r="O58" s="20">
        <v>1.6180000000000001</v>
      </c>
      <c r="P58" s="20">
        <v>1.4259999999999999</v>
      </c>
      <c r="Q58" s="20">
        <v>1.2370000000000001</v>
      </c>
      <c r="R58" s="20">
        <v>1.0860000000000001</v>
      </c>
      <c r="S58" s="20">
        <v>0.97899999999999998</v>
      </c>
      <c r="T58" s="20">
        <v>0.876</v>
      </c>
      <c r="U58" s="20">
        <v>0.77100000000000002</v>
      </c>
      <c r="V58" s="20">
        <v>0.68600000000000005</v>
      </c>
      <c r="W58" s="20">
        <v>0.623</v>
      </c>
      <c r="X58" s="20">
        <v>0.56899999999999995</v>
      </c>
      <c r="Y58" s="20">
        <v>0.52400000000000002</v>
      </c>
      <c r="Z58" s="20">
        <v>0.47499999999999998</v>
      </c>
      <c r="AA58" s="20">
        <v>0.44</v>
      </c>
      <c r="AB58" s="20">
        <v>0.40200000000000002</v>
      </c>
      <c r="AC58" s="20">
        <v>0.377</v>
      </c>
      <c r="AD58" s="20">
        <v>0.35199999999999998</v>
      </c>
      <c r="AE58" s="20">
        <v>0.32800000000000001</v>
      </c>
      <c r="AF58" s="20">
        <v>0.31</v>
      </c>
    </row>
    <row r="59" spans="1:32" ht="13.2">
      <c r="A59" s="20" t="s">
        <v>199</v>
      </c>
      <c r="B59" s="20">
        <v>0.11700000000000001</v>
      </c>
      <c r="C59" s="20">
        <v>0.114</v>
      </c>
      <c r="D59" s="20">
        <v>0.107</v>
      </c>
      <c r="E59" s="20">
        <v>0.104</v>
      </c>
      <c r="F59" s="20">
        <v>9.9000000000000005E-2</v>
      </c>
      <c r="G59" s="20">
        <v>9.2999999999999999E-2</v>
      </c>
      <c r="H59" s="20">
        <v>9.0999999999999998E-2</v>
      </c>
      <c r="I59" s="20">
        <v>8.1000000000000003E-2</v>
      </c>
      <c r="J59" s="20">
        <v>7.6999999999999999E-2</v>
      </c>
      <c r="K59" s="20">
        <v>7.0000000000000007E-2</v>
      </c>
      <c r="L59" s="20">
        <v>6.6000000000000003E-2</v>
      </c>
      <c r="M59" s="20">
        <v>5.5E-2</v>
      </c>
      <c r="N59" s="20">
        <v>4.9000000000000002E-2</v>
      </c>
      <c r="O59" s="20">
        <v>4.2999999999999997E-2</v>
      </c>
      <c r="P59" s="20">
        <v>3.6999999999999998E-2</v>
      </c>
      <c r="Q59" s="20">
        <v>3.2000000000000001E-2</v>
      </c>
      <c r="R59" s="20">
        <v>2.7E-2</v>
      </c>
      <c r="S59" s="20">
        <v>2.4E-2</v>
      </c>
      <c r="T59" s="20">
        <v>2.1000000000000001E-2</v>
      </c>
      <c r="U59" s="20">
        <v>1.9E-2</v>
      </c>
      <c r="V59" s="20">
        <v>1.6E-2</v>
      </c>
      <c r="W59" s="20">
        <v>1.4E-2</v>
      </c>
      <c r="X59" s="20">
        <v>1.2999999999999999E-2</v>
      </c>
      <c r="Y59" s="20">
        <v>1.2E-2</v>
      </c>
      <c r="Z59" s="20">
        <v>1.0999999999999999E-2</v>
      </c>
      <c r="AA59" s="20">
        <v>0.01</v>
      </c>
      <c r="AB59" s="20">
        <v>8.9999999999999993E-3</v>
      </c>
      <c r="AC59" s="20">
        <v>8.9999999999999993E-3</v>
      </c>
      <c r="AD59" s="20">
        <v>8.0000000000000002E-3</v>
      </c>
      <c r="AE59" s="20">
        <v>7.0000000000000001E-3</v>
      </c>
      <c r="AF59" s="20">
        <v>7.0000000000000001E-3</v>
      </c>
    </row>
    <row r="60" spans="1:32" ht="13.2">
      <c r="A60" s="20" t="s">
        <v>200</v>
      </c>
      <c r="B60" s="20">
        <v>3.0000000000000001E-3</v>
      </c>
      <c r="C60" s="20">
        <v>3.0000000000000001E-3</v>
      </c>
      <c r="D60" s="20">
        <v>3.0000000000000001E-3</v>
      </c>
      <c r="E60" s="20">
        <v>3.0000000000000001E-3</v>
      </c>
      <c r="F60" s="20">
        <v>3.0000000000000001E-3</v>
      </c>
      <c r="G60" s="20">
        <v>3.0000000000000001E-3</v>
      </c>
      <c r="H60" s="20">
        <v>3.0000000000000001E-3</v>
      </c>
      <c r="I60" s="20">
        <v>3.0000000000000001E-3</v>
      </c>
      <c r="J60" s="20">
        <v>3.0000000000000001E-3</v>
      </c>
      <c r="K60" s="20">
        <v>3.0000000000000001E-3</v>
      </c>
      <c r="L60" s="20">
        <v>3.0000000000000001E-3</v>
      </c>
      <c r="M60" s="20">
        <v>3.0000000000000001E-3</v>
      </c>
      <c r="N60" s="20">
        <v>3.0000000000000001E-3</v>
      </c>
      <c r="O60" s="20">
        <v>3.0000000000000001E-3</v>
      </c>
      <c r="P60" s="20">
        <v>3.0000000000000001E-3</v>
      </c>
      <c r="Q60" s="20">
        <v>3.0000000000000001E-3</v>
      </c>
      <c r="R60" s="20">
        <v>3.0000000000000001E-3</v>
      </c>
      <c r="S60" s="20">
        <v>3.0000000000000001E-3</v>
      </c>
      <c r="T60" s="20">
        <v>3.0000000000000001E-3</v>
      </c>
      <c r="U60" s="20">
        <v>3.0000000000000001E-3</v>
      </c>
      <c r="V60" s="20">
        <v>3.0000000000000001E-3</v>
      </c>
      <c r="W60" s="20">
        <v>3.0000000000000001E-3</v>
      </c>
      <c r="X60" s="20">
        <v>3.0000000000000001E-3</v>
      </c>
      <c r="Y60" s="20">
        <v>3.0000000000000001E-3</v>
      </c>
      <c r="Z60" s="20">
        <v>3.0000000000000001E-3</v>
      </c>
      <c r="AA60" s="20">
        <v>3.0000000000000001E-3</v>
      </c>
      <c r="AB60" s="20">
        <v>3.0000000000000001E-3</v>
      </c>
      <c r="AC60" s="20">
        <v>3.0000000000000001E-3</v>
      </c>
      <c r="AD60" s="20">
        <v>3.0000000000000001E-3</v>
      </c>
      <c r="AE60" s="20">
        <v>3.0000000000000001E-3</v>
      </c>
      <c r="AF60" s="20">
        <v>4.0000000000000001E-3</v>
      </c>
    </row>
    <row r="61" spans="1:32" ht="13.2">
      <c r="A61" s="20" t="s">
        <v>201</v>
      </c>
      <c r="B61" s="20">
        <v>2E-3</v>
      </c>
      <c r="C61" s="20">
        <v>2E-3</v>
      </c>
      <c r="D61" s="20">
        <v>2E-3</v>
      </c>
      <c r="E61" s="20">
        <v>2E-3</v>
      </c>
      <c r="F61" s="20">
        <v>1E-3</v>
      </c>
      <c r="G61" s="20">
        <v>1E-3</v>
      </c>
      <c r="H61" s="20">
        <v>2E-3</v>
      </c>
      <c r="I61" s="20">
        <v>2E-3</v>
      </c>
      <c r="J61" s="20">
        <v>2E-3</v>
      </c>
      <c r="K61" s="20">
        <v>1E-3</v>
      </c>
      <c r="L61" s="20">
        <v>1E-3</v>
      </c>
      <c r="M61" s="20">
        <v>1E-3</v>
      </c>
      <c r="N61" s="20">
        <v>1E-3</v>
      </c>
      <c r="O61" s="20">
        <v>1E-3</v>
      </c>
      <c r="P61" s="20">
        <v>1E-3</v>
      </c>
      <c r="Q61" s="20">
        <v>1E-3</v>
      </c>
      <c r="R61" s="20">
        <v>1E-3</v>
      </c>
      <c r="S61" s="20">
        <v>1E-3</v>
      </c>
      <c r="T61" s="20">
        <v>1E-3</v>
      </c>
      <c r="U61" s="20">
        <v>1E-3</v>
      </c>
      <c r="V61" s="20">
        <v>1E-3</v>
      </c>
      <c r="W61" s="20">
        <v>1E-3</v>
      </c>
      <c r="X61" s="20">
        <v>1E-3</v>
      </c>
      <c r="Y61" s="20">
        <v>1E-3</v>
      </c>
      <c r="Z61" s="20">
        <v>1E-3</v>
      </c>
      <c r="AA61" s="20">
        <v>1E-3</v>
      </c>
      <c r="AB61" s="20">
        <v>2E-3</v>
      </c>
      <c r="AC61" s="20">
        <v>2E-3</v>
      </c>
      <c r="AD61" s="20">
        <v>2E-3</v>
      </c>
      <c r="AE61" s="20">
        <v>2E-3</v>
      </c>
      <c r="AF61" s="20">
        <v>2E-3</v>
      </c>
    </row>
    <row r="62" spans="1:32" ht="13.2">
      <c r="A62" s="20" t="s">
        <v>207</v>
      </c>
    </row>
  </sheetData>
  <hyperlinks>
    <hyperlink ref="A1" r:id="rId1" xr:uid="{00000000-0004-0000-0500-000000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59999389629810485"/>
    <outlinePr summaryBelow="0" summaryRight="0"/>
  </sheetPr>
  <dimension ref="A2:Q67"/>
  <sheetViews>
    <sheetView workbookViewId="0"/>
  </sheetViews>
  <sheetFormatPr defaultColWidth="12.5546875" defaultRowHeight="15.75" customHeight="1"/>
  <cols>
    <col min="2" max="2" width="22.6640625" customWidth="1"/>
    <col min="3" max="3" width="20.44140625" customWidth="1"/>
    <col min="4" max="4" width="14.44140625" customWidth="1"/>
    <col min="9" max="9" width="16.44140625" customWidth="1"/>
  </cols>
  <sheetData>
    <row r="2" spans="2:17">
      <c r="B2" s="20" t="s">
        <v>208</v>
      </c>
      <c r="C2" s="19" t="s">
        <v>209</v>
      </c>
      <c r="K2" s="20"/>
      <c r="L2" s="20" t="s">
        <v>210</v>
      </c>
      <c r="M2" s="20" t="s">
        <v>211</v>
      </c>
      <c r="N2" s="20" t="s">
        <v>212</v>
      </c>
      <c r="O2" s="20" t="s">
        <v>213</v>
      </c>
      <c r="P2" s="20" t="s">
        <v>214</v>
      </c>
      <c r="Q2" s="20" t="s">
        <v>159</v>
      </c>
    </row>
    <row r="3" spans="2:17">
      <c r="C3" s="19" t="s">
        <v>215</v>
      </c>
      <c r="I3" s="20" t="str">
        <f t="shared" ref="I3:I11" si="0">J3&amp;K3</f>
        <v>GreeneGasoline</v>
      </c>
      <c r="J3" s="20" t="s">
        <v>5</v>
      </c>
      <c r="K3" s="20" t="s">
        <v>46</v>
      </c>
      <c r="L3" s="21">
        <f ca="1">IFERROR(__xludf.DUMMYFUNCTION("sum(importrange(""https://docs.google.com/spreadsheets/d/1ImT8ZpJHesursP2VpI6r4uL5tBrVJErh28Cy8dFoAMk"",""Dayton Kettering MSA Summary!B24:D24""))*1000000"),1353415933.16297)</f>
        <v>1353415933.1629701</v>
      </c>
      <c r="M3" s="21">
        <f>SUMIFS('Projections by County'!$D$10:$D$36,'Projections by County'!$A$10:$A$36,J3,'Projections by County'!$B$10:$B$36,"Transportation",'Projections by County'!$C$10:$C$36,K3)</f>
        <v>7438698.4181075664</v>
      </c>
      <c r="N3" s="92">
        <f t="shared" ref="N3:N8" ca="1" si="1">M3/L3</f>
        <v>5.496239726336844E-3</v>
      </c>
      <c r="O3" s="21">
        <f ca="1">SUMIFS('Projections by County'!$D$49:$D$93,'Projections by County'!$A$49:$A$93,J3,'Projections by County'!$B$49:$B$93,"Transportation",'Projections by County'!$C$49:$C$93,K3)</f>
        <v>524179.27279363218</v>
      </c>
      <c r="P3" s="93">
        <f t="shared" ref="P3:P8" ca="1" si="2">O3/L3</f>
        <v>3.8730094714387682E-4</v>
      </c>
      <c r="Q3" s="93">
        <f t="shared" ref="Q3:Q8" ca="1" si="3">O3/M3</f>
        <v>7.0466531015379627E-2</v>
      </c>
    </row>
    <row r="4" spans="2:17">
      <c r="C4" s="19" t="s">
        <v>216</v>
      </c>
      <c r="I4" s="20" t="str">
        <f t="shared" si="0"/>
        <v>GreeneDiesel</v>
      </c>
      <c r="J4" s="20" t="s">
        <v>5</v>
      </c>
      <c r="K4" s="20" t="s">
        <v>51</v>
      </c>
      <c r="L4" s="21">
        <f ca="1">IFERROR(__xludf.DUMMYFUNCTION("sum(importrange(""https://docs.google.com/spreadsheets/d/1ImT8ZpJHesursP2VpI6r4uL5tBrVJErh28Cy8dFoAMk"",""Dayton Kettering MSA Summary!E24:G24""))*1000000"),164739588.242146)</f>
        <v>164739588.24214599</v>
      </c>
      <c r="M4" s="21">
        <f>SUMIFS('Projections by County'!$D$10:$D$36,'Projections by County'!$A$10:$A$36,J4,'Projections by County'!$B$10:$B$36,"Transportation",'Projections by County'!$C$10:$C$36,K4)</f>
        <v>1755382.1497064228</v>
      </c>
      <c r="N4" s="92">
        <f t="shared" ca="1" si="1"/>
        <v>1.0655496765757584E-2</v>
      </c>
      <c r="O4" s="21">
        <f>SUMIFS('Projections by County'!$D$49:$D$93,'Projections by County'!$A$49:$A$93,J4,'Projections by County'!$B$49:$B$93,"Transportation",'Projections by County'!$C$49:$C$93,K4)</f>
        <v>131768.59748188418</v>
      </c>
      <c r="P4" s="93">
        <f t="shared" ca="1" si="2"/>
        <v>7.9985994191148098E-4</v>
      </c>
      <c r="Q4" s="93">
        <f t="shared" si="3"/>
        <v>7.506547648551723E-2</v>
      </c>
    </row>
    <row r="5" spans="2:17">
      <c r="C5" s="19" t="s">
        <v>217</v>
      </c>
      <c r="I5" s="20" t="str">
        <f t="shared" si="0"/>
        <v>MiamiGasoline</v>
      </c>
      <c r="J5" s="20" t="s">
        <v>9</v>
      </c>
      <c r="K5" s="20" t="s">
        <v>46</v>
      </c>
      <c r="L5" s="21">
        <f ca="1">IFERROR(__xludf.DUMMYFUNCTION("sum(importrange(""https://docs.google.com/spreadsheets/d/1ImT8ZpJHesursP2VpI6r4uL5tBrVJErh28Cy8dFoAMk"",""Dayton Kettering MSA Summary!B25:D25""))*1000000"),922314593.701978)</f>
        <v>922314593.70197797</v>
      </c>
      <c r="M5" s="21">
        <f>SUMIFS('Projections by County'!$D$10:$D$36,'Projections by County'!$A$10:$A$36,J5,'Projections by County'!$B$10:$B$36,"Transportation",'Projections by County'!$C$10:$C$36,K5)</f>
        <v>5069262.1115426831</v>
      </c>
      <c r="N5" s="92">
        <f t="shared" ca="1" si="1"/>
        <v>5.4962397279172664E-3</v>
      </c>
      <c r="O5" s="21">
        <f ca="1">SUMIFS('Projections by County'!$D$49:$D$93,'Projections by County'!$A$49:$A$93,J5,'Projections by County'!$B$49:$B$93,"Transportation",'Projections by County'!$C$49:$C$93,K5)</f>
        <v>357213.31580811128</v>
      </c>
      <c r="P5" s="93">
        <f t="shared" ca="1" si="2"/>
        <v>3.8730094725524368E-4</v>
      </c>
      <c r="Q5" s="93">
        <f t="shared" ca="1" si="3"/>
        <v>7.0466531015379627E-2</v>
      </c>
    </row>
    <row r="6" spans="2:17">
      <c r="I6" s="20" t="str">
        <f t="shared" si="0"/>
        <v>MiamiDiesel</v>
      </c>
      <c r="J6" s="20" t="s">
        <v>9</v>
      </c>
      <c r="K6" s="20" t="s">
        <v>51</v>
      </c>
      <c r="L6" s="21">
        <f ca="1">IFERROR(__xludf.DUMMYFUNCTION("sum(importrange(""https://docs.google.com/spreadsheets/d/1ImT8ZpJHesursP2VpI6r4uL5tBrVJErh28Cy8dFoAMk"",""Dayton Kettering MSA Summary!E25:G25""))*1000000"),112265359.578775)</f>
        <v>112265359.578775</v>
      </c>
      <c r="M6" s="21">
        <f>SUMIFS('Projections by County'!$D$10:$D$36,'Projections by County'!$A$10:$A$36,J6,'Projections by County'!$B$10:$B$36,"Transportation",'Projections by County'!$C$10:$C$36,K6)</f>
        <v>1196243.1759854497</v>
      </c>
      <c r="N6" s="92">
        <f t="shared" ca="1" si="1"/>
        <v>1.0655496766534319E-2</v>
      </c>
      <c r="O6" s="21">
        <f>SUMIFS('Projections by County'!$D$49:$D$93,'Projections by County'!$A$49:$A$93,J6,'Projections by County'!$B$49:$B$93,"Transportation",'Projections by County'!$C$49:$C$93,K6)</f>
        <v>89796.563997896243</v>
      </c>
      <c r="P6" s="93">
        <f t="shared" ca="1" si="2"/>
        <v>7.9985994196978699E-4</v>
      </c>
      <c r="Q6" s="93">
        <f t="shared" si="3"/>
        <v>7.5065476485517243E-2</v>
      </c>
    </row>
    <row r="7" spans="2:17">
      <c r="B7" s="20" t="s">
        <v>218</v>
      </c>
      <c r="C7" s="20" t="s">
        <v>219</v>
      </c>
      <c r="F7" s="20" t="s">
        <v>220</v>
      </c>
      <c r="G7" s="20" t="s">
        <v>221</v>
      </c>
      <c r="I7" s="20" t="str">
        <f t="shared" si="0"/>
        <v>MontgomeryGasoline</v>
      </c>
      <c r="J7" s="20" t="s">
        <v>10</v>
      </c>
      <c r="K7" s="20" t="s">
        <v>46</v>
      </c>
      <c r="L7" s="21">
        <f ca="1">IFERROR(__xludf.DUMMYFUNCTION("sum(importrange(""https://docs.google.com/spreadsheets/d/1ImT8ZpJHesursP2VpI6r4uL5tBrVJErh28Cy8dFoAMk"",""Dayton Kettering MSA Summary!B26:D26""))*1000000"),3835497116.2478)</f>
        <v>3835497116.2477999</v>
      </c>
      <c r="M7" s="21">
        <f>SUMIFS('Projections by County'!$D$10:$D$36,'Projections by County'!$A$10:$A$36,J7,'Projections by County'!$B$10:$B$36,"Transportation",'Projections by County'!$C$10:$C$36,K7)</f>
        <v>21080811.626997966</v>
      </c>
      <c r="N7" s="92">
        <f t="shared" ca="1" si="1"/>
        <v>5.4962397280123518E-3</v>
      </c>
      <c r="O7" s="21">
        <f ca="1">SUMIFS('Projections by County'!$D$49:$D$93,'Projections by County'!$A$49:$A$93,J7,'Projections by County'!$B$49:$B$93,"Transportation",'Projections by County'!$C$49:$C$93,K7)</f>
        <v>1485491.6663432277</v>
      </c>
      <c r="P7" s="93">
        <f t="shared" ca="1" si="2"/>
        <v>3.8730094726194405E-4</v>
      </c>
      <c r="Q7" s="93">
        <f t="shared" ca="1" si="3"/>
        <v>7.0466531015379627E-2</v>
      </c>
    </row>
    <row r="8" spans="2:17">
      <c r="C8" s="20" t="s">
        <v>222</v>
      </c>
      <c r="D8" s="20" t="s">
        <v>223</v>
      </c>
      <c r="E8" s="20" t="s">
        <v>0</v>
      </c>
      <c r="F8" s="20" t="s">
        <v>0</v>
      </c>
      <c r="I8" s="20" t="str">
        <f t="shared" si="0"/>
        <v>MontgomeryDiesel</v>
      </c>
      <c r="J8" s="20" t="s">
        <v>10</v>
      </c>
      <c r="K8" s="20" t="s">
        <v>51</v>
      </c>
      <c r="L8" s="21">
        <f ca="1">IFERROR(__xludf.DUMMYFUNCTION("sum(importrange(""https://docs.google.com/spreadsheets/d/1ImT8ZpJHesursP2VpI6r4uL5tBrVJErh28Cy8dFoAMk"",""Dayton Kettering MSA Summary!E26:G26""))*1000000"),466861812.508685)</f>
        <v>466861812.50868499</v>
      </c>
      <c r="M8" s="21">
        <f>SUMIFS('Projections by County'!$D$10:$D$36,'Projections by County'!$A$10:$A$36,J8,'Projections by County'!$B$10:$B$36,"Transportation",'Projections by County'!$C$10:$C$36,K8)</f>
        <v>4974644.533546444</v>
      </c>
      <c r="N8" s="92">
        <f t="shared" ca="1" si="1"/>
        <v>1.0655496766409657E-2</v>
      </c>
      <c r="O8" s="21">
        <f>SUMIFS('Projections by County'!$D$49:$D$93,'Projections by County'!$A$49:$A$93,J8,'Projections by County'!$B$49:$B$93,"Transportation",'Projections by County'!$C$49:$C$93,K8)</f>
        <v>373424.0622567375</v>
      </c>
      <c r="P8" s="93">
        <f t="shared" ca="1" si="2"/>
        <v>7.9985994196042902E-4</v>
      </c>
      <c r="Q8" s="93">
        <f t="shared" si="3"/>
        <v>7.5065476485517243E-2</v>
      </c>
    </row>
    <row r="9" spans="2:17">
      <c r="B9" s="20" t="s">
        <v>127</v>
      </c>
      <c r="C9" s="20">
        <v>24.1</v>
      </c>
      <c r="D9" s="20">
        <v>32.4</v>
      </c>
      <c r="E9" s="46">
        <f>F19*(1/F9)</f>
        <v>97.413294797687854</v>
      </c>
      <c r="F9" s="20">
        <v>0.34599999999999997</v>
      </c>
      <c r="G9" s="94">
        <f t="shared" ref="G9:G11" si="4">F9/$F$20</f>
        <v>1.1796906816180111E-3</v>
      </c>
      <c r="I9" s="20" t="str">
        <f t="shared" si="0"/>
        <v>GreeneElectricity</v>
      </c>
      <c r="J9" s="20" t="s">
        <v>5</v>
      </c>
      <c r="K9" s="20" t="s">
        <v>0</v>
      </c>
      <c r="L9" s="21"/>
      <c r="M9" s="21"/>
      <c r="N9" s="92"/>
      <c r="O9" s="21"/>
      <c r="P9" s="93"/>
      <c r="Q9" s="93"/>
    </row>
    <row r="10" spans="2:17">
      <c r="B10" s="20" t="s">
        <v>224</v>
      </c>
      <c r="C10" s="20">
        <v>18.5</v>
      </c>
      <c r="D10" s="20">
        <v>22.1</v>
      </c>
      <c r="E10" s="46">
        <f>C23</f>
        <v>71.898809523809518</v>
      </c>
      <c r="F10" s="26">
        <f>D23/100</f>
        <v>0.49208333333333337</v>
      </c>
      <c r="G10" s="94">
        <f t="shared" si="4"/>
        <v>1.6777633610198354E-3</v>
      </c>
      <c r="I10" s="20" t="str">
        <f t="shared" si="0"/>
        <v>MiamiElectricity</v>
      </c>
      <c r="J10" s="20" t="s">
        <v>9</v>
      </c>
      <c r="K10" s="20" t="s">
        <v>0</v>
      </c>
      <c r="L10" s="21"/>
      <c r="M10" s="21"/>
      <c r="N10" s="92"/>
      <c r="O10" s="21"/>
      <c r="P10" s="93"/>
      <c r="Q10" s="93"/>
    </row>
    <row r="11" spans="2:17">
      <c r="B11" s="20" t="s">
        <v>129</v>
      </c>
      <c r="C11" s="20">
        <v>10.130000000000001</v>
      </c>
      <c r="D11" s="20">
        <v>12.96</v>
      </c>
      <c r="E11" s="74">
        <v>11.51</v>
      </c>
      <c r="F11" s="95">
        <f>C39</f>
        <v>1.52</v>
      </c>
      <c r="G11" s="94">
        <f t="shared" si="4"/>
        <v>5.1824561735820144E-3</v>
      </c>
      <c r="I11" s="20" t="str">
        <f t="shared" si="0"/>
        <v>MontgomeryElectricity</v>
      </c>
      <c r="J11" s="20" t="s">
        <v>10</v>
      </c>
      <c r="K11" s="20" t="s">
        <v>0</v>
      </c>
      <c r="L11" s="21"/>
      <c r="M11" s="21"/>
      <c r="N11" s="92"/>
      <c r="O11" s="21"/>
      <c r="P11" s="93"/>
      <c r="Q11" s="93"/>
    </row>
    <row r="12" spans="2:17">
      <c r="B12" s="20" t="s">
        <v>225</v>
      </c>
      <c r="C12" s="20">
        <v>50</v>
      </c>
      <c r="D12" s="20" t="s">
        <v>226</v>
      </c>
      <c r="L12" s="21"/>
      <c r="M12" s="21"/>
      <c r="N12" s="92"/>
      <c r="O12" s="21"/>
      <c r="P12" s="93"/>
      <c r="Q12" s="93"/>
    </row>
    <row r="13" spans="2:17">
      <c r="L13" s="21"/>
      <c r="M13" s="21"/>
      <c r="N13" s="92"/>
      <c r="O13" s="21"/>
      <c r="P13" s="93"/>
      <c r="Q13" s="93"/>
    </row>
    <row r="14" spans="2:17">
      <c r="B14" s="20"/>
      <c r="L14" s="21"/>
      <c r="M14" s="21"/>
      <c r="N14" s="92"/>
      <c r="O14" s="21"/>
      <c r="P14" s="93"/>
      <c r="Q14" s="93"/>
    </row>
    <row r="15" spans="2:17">
      <c r="B15" s="20" t="s">
        <v>209</v>
      </c>
      <c r="L15" s="21"/>
      <c r="M15" s="21"/>
      <c r="N15" s="92"/>
      <c r="O15" s="21"/>
      <c r="P15" s="93"/>
      <c r="Q15" s="93"/>
    </row>
    <row r="16" spans="2:17">
      <c r="B16" s="20" t="s">
        <v>227</v>
      </c>
      <c r="L16" s="21"/>
      <c r="M16" s="21"/>
      <c r="N16" s="92"/>
      <c r="O16" s="21"/>
      <c r="P16" s="93"/>
      <c r="Q16" s="93"/>
    </row>
    <row r="17" spans="2:17">
      <c r="C17" s="20" t="s">
        <v>228</v>
      </c>
      <c r="L17" s="21"/>
      <c r="M17" s="21"/>
      <c r="N17" s="92"/>
      <c r="O17" s="21"/>
      <c r="P17" s="93"/>
      <c r="Q17" s="93"/>
    </row>
    <row r="18" spans="2:17">
      <c r="C18" s="20" t="s">
        <v>229</v>
      </c>
      <c r="D18" s="20" t="s">
        <v>230</v>
      </c>
      <c r="L18" s="21"/>
      <c r="M18" s="21"/>
      <c r="N18" s="92"/>
      <c r="O18" s="21"/>
      <c r="P18" s="93"/>
      <c r="Q18" s="93"/>
    </row>
    <row r="19" spans="2:17">
      <c r="B19" s="20" t="s">
        <v>231</v>
      </c>
      <c r="C19" s="21">
        <f>AVERAGE(76,78,73)</f>
        <v>75.666666666666671</v>
      </c>
      <c r="D19" s="21">
        <f>AVERAGE(44,43,46)</f>
        <v>44.333333333333336</v>
      </c>
      <c r="F19" s="96">
        <v>33.704999999999998</v>
      </c>
      <c r="G19" s="20" t="s">
        <v>232</v>
      </c>
    </row>
    <row r="20" spans="2:17">
      <c r="B20" s="20" t="s">
        <v>233</v>
      </c>
      <c r="C20" s="20">
        <v>49</v>
      </c>
      <c r="D20" s="20">
        <v>69</v>
      </c>
      <c r="F20" s="20">
        <v>293.29722222222</v>
      </c>
      <c r="G20" s="20" t="s">
        <v>234</v>
      </c>
    </row>
    <row r="21" spans="2:17">
      <c r="B21" s="20" t="s">
        <v>235</v>
      </c>
      <c r="C21" s="21">
        <f>AVERAGE(69,76,73,82,82,80,80)</f>
        <v>77.428571428571431</v>
      </c>
      <c r="D21" s="21">
        <f>AVERAGE(49,44,46,41,42,42)</f>
        <v>44</v>
      </c>
    </row>
    <row r="22" spans="2:17">
      <c r="B22" s="20" t="s">
        <v>236</v>
      </c>
      <c r="C22" s="97">
        <f>AVERAGE(89,82)</f>
        <v>85.5</v>
      </c>
      <c r="D22" s="97">
        <f>AVERAGE(38,41)</f>
        <v>39.5</v>
      </c>
    </row>
    <row r="23" spans="2:17">
      <c r="C23" s="21">
        <f t="shared" ref="C23:D23" si="5">AVERAGE(C19:C22)</f>
        <v>71.898809523809518</v>
      </c>
      <c r="D23" s="21">
        <f t="shared" si="5"/>
        <v>49.208333333333336</v>
      </c>
    </row>
    <row r="25" spans="2:17">
      <c r="B25" s="20" t="s">
        <v>217</v>
      </c>
    </row>
    <row r="26" spans="2:17">
      <c r="B26" s="20" t="s">
        <v>129</v>
      </c>
    </row>
    <row r="27" spans="2:17">
      <c r="B27" s="20" t="s">
        <v>237</v>
      </c>
    </row>
    <row r="28" spans="2:17">
      <c r="C28" s="20" t="s">
        <v>238</v>
      </c>
      <c r="D28" s="20" t="s">
        <v>239</v>
      </c>
    </row>
    <row r="29" spans="2:17">
      <c r="B29" s="20" t="s">
        <v>240</v>
      </c>
      <c r="C29" s="20">
        <v>2.7</v>
      </c>
      <c r="D29" s="20">
        <v>5.8</v>
      </c>
    </row>
    <row r="30" spans="2:17">
      <c r="B30" s="20" t="s">
        <v>241</v>
      </c>
      <c r="C30" s="20">
        <v>3.2</v>
      </c>
      <c r="D30" s="20">
        <v>4.9000000000000004</v>
      </c>
    </row>
    <row r="31" spans="2:17">
      <c r="B31" s="20" t="s">
        <v>242</v>
      </c>
      <c r="C31" s="20">
        <v>1.6</v>
      </c>
      <c r="D31" s="20">
        <v>9.5</v>
      </c>
    </row>
    <row r="32" spans="2:17">
      <c r="B32" s="20" t="s">
        <v>243</v>
      </c>
      <c r="C32" s="20">
        <v>2</v>
      </c>
      <c r="D32" s="20">
        <v>7.7</v>
      </c>
    </row>
    <row r="33" spans="1:10">
      <c r="B33" s="20" t="s">
        <v>244</v>
      </c>
      <c r="C33" s="20">
        <v>1.1000000000000001</v>
      </c>
      <c r="D33" s="20">
        <v>13.9</v>
      </c>
    </row>
    <row r="34" spans="1:10">
      <c r="B34" s="20" t="s">
        <v>245</v>
      </c>
      <c r="C34" s="20">
        <v>1</v>
      </c>
      <c r="D34" s="20">
        <v>13.4</v>
      </c>
    </row>
    <row r="35" spans="1:10">
      <c r="B35" s="20" t="s">
        <v>246</v>
      </c>
      <c r="C35" s="20">
        <v>1.1000000000000001</v>
      </c>
      <c r="D35" s="20">
        <v>12.8</v>
      </c>
    </row>
    <row r="36" spans="1:10">
      <c r="B36" s="20" t="s">
        <v>247</v>
      </c>
      <c r="C36" s="20">
        <v>0.9</v>
      </c>
      <c r="D36" s="20">
        <v>14.3</v>
      </c>
    </row>
    <row r="37" spans="1:10">
      <c r="B37" s="20" t="s">
        <v>248</v>
      </c>
      <c r="C37" s="20">
        <v>0.8</v>
      </c>
      <c r="D37" s="20">
        <v>16.399999999999999</v>
      </c>
    </row>
    <row r="38" spans="1:10">
      <c r="B38" s="20" t="s">
        <v>249</v>
      </c>
      <c r="C38" s="20">
        <v>0.8</v>
      </c>
      <c r="D38" s="20">
        <v>16.399999999999999</v>
      </c>
    </row>
    <row r="39" spans="1:10">
      <c r="C39" s="20">
        <f t="shared" ref="C39:D39" si="6">AVERAGE(C29:C38)</f>
        <v>1.52</v>
      </c>
      <c r="D39" s="20">
        <f t="shared" si="6"/>
        <v>11.51</v>
      </c>
    </row>
    <row r="42" spans="1:10">
      <c r="A42" s="45" t="s">
        <v>250</v>
      </c>
    </row>
    <row r="43" spans="1:10">
      <c r="C43" s="45">
        <v>2024</v>
      </c>
      <c r="D43" s="45">
        <v>2025</v>
      </c>
      <c r="E43" s="45">
        <v>2026</v>
      </c>
      <c r="F43" s="45">
        <v>2027</v>
      </c>
      <c r="G43" s="45">
        <v>2028</v>
      </c>
      <c r="H43" s="45">
        <v>2029</v>
      </c>
      <c r="I43" s="45">
        <v>2030</v>
      </c>
      <c r="J43" s="45">
        <v>2050</v>
      </c>
    </row>
    <row r="44" spans="1:10">
      <c r="A44" s="20" t="s">
        <v>251</v>
      </c>
      <c r="B44" s="20" t="s">
        <v>196</v>
      </c>
      <c r="C44" s="20">
        <f t="shared" ref="C44:I44" ca="1" si="7">VLOOKUP($B44,INDIRECT(CONCATENATE($A44,"_cap_ef")),C$43-1998,FALSE)</f>
        <v>0.22800000000000001</v>
      </c>
      <c r="D44" s="20">
        <f t="shared" ca="1" si="7"/>
        <v>0.218</v>
      </c>
      <c r="E44" s="20">
        <f t="shared" ca="1" si="7"/>
        <v>0.19500000000000001</v>
      </c>
      <c r="F44" s="20">
        <f t="shared" ca="1" si="7"/>
        <v>0.187</v>
      </c>
      <c r="G44" s="20">
        <f t="shared" ca="1" si="7"/>
        <v>0.17499999999999999</v>
      </c>
      <c r="H44" s="20">
        <f t="shared" ca="1" si="7"/>
        <v>0.16600000000000001</v>
      </c>
      <c r="I44" s="20">
        <f t="shared" ca="1" si="7"/>
        <v>0.159</v>
      </c>
      <c r="J44" s="20">
        <f t="shared" ref="J44:J67" ca="1" si="8">I44</f>
        <v>0.159</v>
      </c>
    </row>
    <row r="45" spans="1:10">
      <c r="A45" s="20" t="s">
        <v>251</v>
      </c>
      <c r="B45" s="20" t="s">
        <v>197</v>
      </c>
      <c r="C45" s="20">
        <f t="shared" ref="C45:I45" ca="1" si="9">VLOOKUP($B45,INDIRECT(CONCATENATE($A45,"_cap_ef")),C$43-1998,FALSE)</f>
        <v>3.5339999999999998</v>
      </c>
      <c r="D45" s="20">
        <f t="shared" ca="1" si="9"/>
        <v>3.359</v>
      </c>
      <c r="E45" s="20">
        <f t="shared" ca="1" si="9"/>
        <v>3.1709999999999998</v>
      </c>
      <c r="F45" s="20">
        <f t="shared" ca="1" si="9"/>
        <v>3.0049999999999999</v>
      </c>
      <c r="G45" s="20">
        <f t="shared" ca="1" si="9"/>
        <v>2.8450000000000002</v>
      </c>
      <c r="H45" s="20">
        <f t="shared" ca="1" si="9"/>
        <v>2.6680000000000001</v>
      </c>
      <c r="I45" s="20">
        <f t="shared" ca="1" si="9"/>
        <v>2.508</v>
      </c>
      <c r="J45" s="20">
        <f t="shared" ca="1" si="8"/>
        <v>2.508</v>
      </c>
    </row>
    <row r="46" spans="1:10">
      <c r="A46" s="20" t="s">
        <v>251</v>
      </c>
      <c r="B46" s="20" t="s">
        <v>198</v>
      </c>
      <c r="C46" s="20">
        <f t="shared" ref="C46:I46" ca="1" si="10">VLOOKUP($B46,INDIRECT(CONCATENATE($A46,"_cap_ef")),C$43-1998,FALSE)</f>
        <v>0.11700000000000001</v>
      </c>
      <c r="D46" s="20">
        <f t="shared" ca="1" si="10"/>
        <v>0.10299999999999999</v>
      </c>
      <c r="E46" s="20">
        <f t="shared" ca="1" si="10"/>
        <v>8.7999999999999995E-2</v>
      </c>
      <c r="F46" s="20">
        <f t="shared" ca="1" si="10"/>
        <v>8.1000000000000003E-2</v>
      </c>
      <c r="G46" s="20">
        <f t="shared" ca="1" si="10"/>
        <v>7.0000000000000007E-2</v>
      </c>
      <c r="H46" s="20">
        <f t="shared" ca="1" si="10"/>
        <v>6.3E-2</v>
      </c>
      <c r="I46" s="20">
        <f t="shared" ca="1" si="10"/>
        <v>5.3999999999999999E-2</v>
      </c>
      <c r="J46" s="20">
        <f t="shared" ca="1" si="8"/>
        <v>5.3999999999999999E-2</v>
      </c>
    </row>
    <row r="47" spans="1:10">
      <c r="A47" s="20" t="s">
        <v>251</v>
      </c>
      <c r="B47" s="20" t="s">
        <v>199</v>
      </c>
      <c r="C47" s="20">
        <f t="shared" ref="C47:I47" ca="1" si="11">VLOOKUP($B47,INDIRECT(CONCATENATE($A47,"_cap_ef")),C$43-1998,FALSE)</f>
        <v>4.0000000000000001E-3</v>
      </c>
      <c r="D47" s="20">
        <f t="shared" ca="1" si="11"/>
        <v>4.0000000000000001E-3</v>
      </c>
      <c r="E47" s="20">
        <f t="shared" ca="1" si="11"/>
        <v>4.0000000000000001E-3</v>
      </c>
      <c r="F47" s="20">
        <f t="shared" ca="1" si="11"/>
        <v>4.0000000000000001E-3</v>
      </c>
      <c r="G47" s="20">
        <f t="shared" ca="1" si="11"/>
        <v>4.0000000000000001E-3</v>
      </c>
      <c r="H47" s="20">
        <f t="shared" ca="1" si="11"/>
        <v>4.0000000000000001E-3</v>
      </c>
      <c r="I47" s="20">
        <f t="shared" ca="1" si="11"/>
        <v>4.0000000000000001E-3</v>
      </c>
      <c r="J47" s="20">
        <f t="shared" ca="1" si="8"/>
        <v>4.0000000000000001E-3</v>
      </c>
    </row>
    <row r="48" spans="1:10">
      <c r="A48" s="20" t="s">
        <v>251</v>
      </c>
      <c r="B48" s="20" t="s">
        <v>200</v>
      </c>
      <c r="C48" s="20">
        <f t="shared" ref="C48:I48" ca="1" si="12">VLOOKUP($B48,INDIRECT(CONCATENATE($A48,"_cap_ef")),C$43-1998,FALSE)</f>
        <v>3.0000000000000001E-3</v>
      </c>
      <c r="D48" s="20">
        <f t="shared" ca="1" si="12"/>
        <v>3.0000000000000001E-3</v>
      </c>
      <c r="E48" s="20">
        <f t="shared" ca="1" si="12"/>
        <v>3.0000000000000001E-3</v>
      </c>
      <c r="F48" s="20">
        <f t="shared" ca="1" si="12"/>
        <v>3.0000000000000001E-3</v>
      </c>
      <c r="G48" s="20">
        <f t="shared" ca="1" si="12"/>
        <v>3.0000000000000001E-3</v>
      </c>
      <c r="H48" s="20">
        <f t="shared" ca="1" si="12"/>
        <v>3.0000000000000001E-3</v>
      </c>
      <c r="I48" s="20">
        <f t="shared" ca="1" si="12"/>
        <v>3.0000000000000001E-3</v>
      </c>
      <c r="J48" s="20">
        <f t="shared" ca="1" si="8"/>
        <v>3.0000000000000001E-3</v>
      </c>
    </row>
    <row r="49" spans="1:10">
      <c r="A49" s="20" t="s">
        <v>251</v>
      </c>
      <c r="B49" s="20" t="s">
        <v>201</v>
      </c>
      <c r="C49" s="20">
        <f t="shared" ref="C49:I49" ca="1" si="13">VLOOKUP($B49,INDIRECT(CONCATENATE($A49,"_cap_ef")),C$43-1998,FALSE)</f>
        <v>1E-3</v>
      </c>
      <c r="D49" s="20">
        <f t="shared" ca="1" si="13"/>
        <v>1E-3</v>
      </c>
      <c r="E49" s="20">
        <f t="shared" ca="1" si="13"/>
        <v>1E-3</v>
      </c>
      <c r="F49" s="20">
        <f t="shared" ca="1" si="13"/>
        <v>1E-3</v>
      </c>
      <c r="G49" s="20">
        <f t="shared" ca="1" si="13"/>
        <v>1E-3</v>
      </c>
      <c r="H49" s="20">
        <f t="shared" ca="1" si="13"/>
        <v>1E-3</v>
      </c>
      <c r="I49" s="20">
        <f t="shared" ca="1" si="13"/>
        <v>1E-3</v>
      </c>
      <c r="J49" s="20">
        <f t="shared" ca="1" si="8"/>
        <v>1E-3</v>
      </c>
    </row>
    <row r="50" spans="1:10">
      <c r="A50" s="20" t="s">
        <v>252</v>
      </c>
      <c r="B50" s="20" t="s">
        <v>196</v>
      </c>
      <c r="C50" s="20">
        <f t="shared" ref="C50:I50" ca="1" si="14">VLOOKUP($B50,INDIRECT(CONCATENATE($A50,"_cap_ef")),C$43-1998,FALSE)</f>
        <v>0.26100000000000001</v>
      </c>
      <c r="D50" s="20">
        <f t="shared" ca="1" si="14"/>
        <v>0.246</v>
      </c>
      <c r="E50" s="20">
        <f t="shared" ca="1" si="14"/>
        <v>0.22</v>
      </c>
      <c r="F50" s="20">
        <f t="shared" ca="1" si="14"/>
        <v>0.20699999999999999</v>
      </c>
      <c r="G50" s="20">
        <f t="shared" ca="1" si="14"/>
        <v>0.19500000000000001</v>
      </c>
      <c r="H50" s="20">
        <f t="shared" ca="1" si="14"/>
        <v>0.184</v>
      </c>
      <c r="I50" s="20">
        <f t="shared" ca="1" si="14"/>
        <v>0.17499999999999999</v>
      </c>
      <c r="J50" s="20">
        <f t="shared" ca="1" si="8"/>
        <v>0.17499999999999999</v>
      </c>
    </row>
    <row r="51" spans="1:10">
      <c r="A51" s="20" t="s">
        <v>252</v>
      </c>
      <c r="B51" s="20" t="s">
        <v>197</v>
      </c>
      <c r="C51" s="20">
        <f t="shared" ref="C51:I51" ca="1" si="15">VLOOKUP($B51,INDIRECT(CONCATENATE($A51,"_cap_ef")),C$43-1998,FALSE)</f>
        <v>4.2530000000000001</v>
      </c>
      <c r="D51" s="20">
        <f t="shared" ca="1" si="15"/>
        <v>4.0129999999999999</v>
      </c>
      <c r="E51" s="20">
        <f t="shared" ca="1" si="15"/>
        <v>3.6970000000000001</v>
      </c>
      <c r="F51" s="20">
        <f t="shared" ca="1" si="15"/>
        <v>3.5009999999999999</v>
      </c>
      <c r="G51" s="20">
        <f t="shared" ca="1" si="15"/>
        <v>3.2690000000000001</v>
      </c>
      <c r="H51" s="20">
        <f t="shared" ca="1" si="15"/>
        <v>3.0539999999999998</v>
      </c>
      <c r="I51" s="20">
        <f t="shared" ca="1" si="15"/>
        <v>2.883</v>
      </c>
      <c r="J51" s="20">
        <f t="shared" ca="1" si="8"/>
        <v>2.883</v>
      </c>
    </row>
    <row r="52" spans="1:10">
      <c r="A52" s="20" t="s">
        <v>252</v>
      </c>
      <c r="B52" s="20" t="s">
        <v>198</v>
      </c>
      <c r="C52" s="20">
        <f t="shared" ref="C52:I52" ca="1" si="16">VLOOKUP($B52,INDIRECT(CONCATENATE($A52,"_cap_ef")),C$43-1998,FALSE)</f>
        <v>0.22700000000000001</v>
      </c>
      <c r="D52" s="20">
        <f t="shared" ca="1" si="16"/>
        <v>0.20100000000000001</v>
      </c>
      <c r="E52" s="20">
        <f t="shared" ca="1" si="16"/>
        <v>0.16400000000000001</v>
      </c>
      <c r="F52" s="20">
        <f t="shared" ca="1" si="16"/>
        <v>0.14499999999999999</v>
      </c>
      <c r="G52" s="20">
        <f t="shared" ca="1" si="16"/>
        <v>0.127</v>
      </c>
      <c r="H52" s="20">
        <f t="shared" ca="1" si="16"/>
        <v>0.10299999999999999</v>
      </c>
      <c r="I52" s="20">
        <f t="shared" ca="1" si="16"/>
        <v>8.8999999999999996E-2</v>
      </c>
      <c r="J52" s="20">
        <f t="shared" ca="1" si="8"/>
        <v>8.8999999999999996E-2</v>
      </c>
    </row>
    <row r="53" spans="1:10">
      <c r="A53" s="20" t="s">
        <v>252</v>
      </c>
      <c r="B53" s="20" t="s">
        <v>199</v>
      </c>
      <c r="C53" s="20">
        <f t="shared" ref="C53:I53" ca="1" si="17">VLOOKUP($B53,INDIRECT(CONCATENATE($A53,"_cap_ef")),C$43-1998,FALSE)</f>
        <v>6.0000000000000001E-3</v>
      </c>
      <c r="D53" s="20">
        <f t="shared" ca="1" si="17"/>
        <v>6.0000000000000001E-3</v>
      </c>
      <c r="E53" s="20">
        <f t="shared" ca="1" si="17"/>
        <v>6.0000000000000001E-3</v>
      </c>
      <c r="F53" s="20">
        <f t="shared" ca="1" si="17"/>
        <v>5.0000000000000001E-3</v>
      </c>
      <c r="G53" s="20">
        <f t="shared" ca="1" si="17"/>
        <v>5.0000000000000001E-3</v>
      </c>
      <c r="H53" s="20">
        <f t="shared" ca="1" si="17"/>
        <v>5.0000000000000001E-3</v>
      </c>
      <c r="I53" s="20">
        <f t="shared" ca="1" si="17"/>
        <v>5.0000000000000001E-3</v>
      </c>
      <c r="J53" s="20">
        <f t="shared" ca="1" si="8"/>
        <v>5.0000000000000001E-3</v>
      </c>
    </row>
    <row r="54" spans="1:10">
      <c r="A54" s="20" t="s">
        <v>252</v>
      </c>
      <c r="B54" s="20" t="s">
        <v>200</v>
      </c>
      <c r="C54" s="20">
        <f t="shared" ref="C54:I54" ca="1" si="18">VLOOKUP($B54,INDIRECT(CONCATENATE($A54,"_cap_ef")),C$43-1998,FALSE)</f>
        <v>3.0000000000000001E-3</v>
      </c>
      <c r="D54" s="20">
        <f t="shared" ca="1" si="18"/>
        <v>3.0000000000000001E-3</v>
      </c>
      <c r="E54" s="20">
        <f t="shared" ca="1" si="18"/>
        <v>3.0000000000000001E-3</v>
      </c>
      <c r="F54" s="20">
        <f t="shared" ca="1" si="18"/>
        <v>3.0000000000000001E-3</v>
      </c>
      <c r="G54" s="20">
        <f t="shared" ca="1" si="18"/>
        <v>3.0000000000000001E-3</v>
      </c>
      <c r="H54" s="20">
        <f t="shared" ca="1" si="18"/>
        <v>3.0000000000000001E-3</v>
      </c>
      <c r="I54" s="20">
        <f t="shared" ca="1" si="18"/>
        <v>3.0000000000000001E-3</v>
      </c>
      <c r="J54" s="20">
        <f t="shared" ca="1" si="8"/>
        <v>3.0000000000000001E-3</v>
      </c>
    </row>
    <row r="55" spans="1:10">
      <c r="A55" s="20" t="s">
        <v>252</v>
      </c>
      <c r="B55" s="20" t="s">
        <v>201</v>
      </c>
      <c r="C55" s="20">
        <f t="shared" ref="C55:I55" ca="1" si="19">VLOOKUP($B55,INDIRECT(CONCATENATE($A55,"_cap_ef")),C$43-1998,FALSE)</f>
        <v>1E-3</v>
      </c>
      <c r="D55" s="20">
        <f t="shared" ca="1" si="19"/>
        <v>1E-3</v>
      </c>
      <c r="E55" s="20">
        <f t="shared" ca="1" si="19"/>
        <v>1E-3</v>
      </c>
      <c r="F55" s="20">
        <f t="shared" ca="1" si="19"/>
        <v>1E-3</v>
      </c>
      <c r="G55" s="20">
        <f t="shared" ca="1" si="19"/>
        <v>1E-3</v>
      </c>
      <c r="H55" s="20">
        <f t="shared" ca="1" si="19"/>
        <v>1E-3</v>
      </c>
      <c r="I55" s="20">
        <f t="shared" ca="1" si="19"/>
        <v>1E-3</v>
      </c>
      <c r="J55" s="20">
        <f t="shared" ca="1" si="8"/>
        <v>1E-3</v>
      </c>
    </row>
    <row r="56" spans="1:10">
      <c r="A56" s="20" t="s">
        <v>253</v>
      </c>
      <c r="B56" s="20" t="s">
        <v>196</v>
      </c>
      <c r="C56" s="20">
        <f t="shared" ref="C56:I56" ca="1" si="20">VLOOKUP($B56,INDIRECT(CONCATENATE($A56,"_cap_ef")),C$43-1998,FALSE)</f>
        <v>0.19500000000000001</v>
      </c>
      <c r="D56" s="20">
        <f t="shared" ca="1" si="20"/>
        <v>0.183</v>
      </c>
      <c r="E56" s="20">
        <f t="shared" ca="1" si="20"/>
        <v>0.17399999999999999</v>
      </c>
      <c r="F56" s="20">
        <f t="shared" ca="1" si="20"/>
        <v>0.16500000000000001</v>
      </c>
      <c r="G56" s="20">
        <f t="shared" ca="1" si="20"/>
        <v>0.157</v>
      </c>
      <c r="H56" s="20">
        <f t="shared" ca="1" si="20"/>
        <v>0.15</v>
      </c>
      <c r="I56" s="20">
        <f t="shared" ca="1" si="20"/>
        <v>0.14499999999999999</v>
      </c>
      <c r="J56" s="20">
        <f t="shared" ca="1" si="8"/>
        <v>0.14499999999999999</v>
      </c>
    </row>
    <row r="57" spans="1:10">
      <c r="A57" s="20" t="s">
        <v>253</v>
      </c>
      <c r="B57" s="20" t="s">
        <v>197</v>
      </c>
      <c r="C57" s="20">
        <f t="shared" ref="C57:I57" ca="1" si="21">VLOOKUP($B57,INDIRECT(CONCATENATE($A57,"_cap_ef")),C$43-1998,FALSE)</f>
        <v>1.724</v>
      </c>
      <c r="D57" s="20">
        <f t="shared" ca="1" si="21"/>
        <v>1.671</v>
      </c>
      <c r="E57" s="20">
        <f t="shared" ca="1" si="21"/>
        <v>1.6259999999999999</v>
      </c>
      <c r="F57" s="20">
        <f t="shared" ca="1" si="21"/>
        <v>1.5860000000000001</v>
      </c>
      <c r="G57" s="20">
        <f t="shared" ca="1" si="21"/>
        <v>1.5489999999999999</v>
      </c>
      <c r="H57" s="20">
        <f t="shared" ca="1" si="21"/>
        <v>1.5169999999999999</v>
      </c>
      <c r="I57" s="20">
        <f t="shared" ca="1" si="21"/>
        <v>1.492</v>
      </c>
      <c r="J57" s="20">
        <f t="shared" ca="1" si="8"/>
        <v>1.492</v>
      </c>
    </row>
    <row r="58" spans="1:10">
      <c r="A58" s="20" t="s">
        <v>253</v>
      </c>
      <c r="B58" s="20" t="s">
        <v>198</v>
      </c>
      <c r="C58" s="20">
        <f t="shared" ref="C58:I58" ca="1" si="22">VLOOKUP($B58,INDIRECT(CONCATENATE($A58,"_cap_ef")),C$43-1998,FALSE)</f>
        <v>3.06</v>
      </c>
      <c r="D58" s="20">
        <f t="shared" ca="1" si="22"/>
        <v>2.883</v>
      </c>
      <c r="E58" s="20">
        <f t="shared" ca="1" si="22"/>
        <v>2.742</v>
      </c>
      <c r="F58" s="20">
        <f t="shared" ca="1" si="22"/>
        <v>2.6160000000000001</v>
      </c>
      <c r="G58" s="20">
        <f t="shared" ca="1" si="22"/>
        <v>2.5009999999999999</v>
      </c>
      <c r="H58" s="20">
        <f t="shared" ca="1" si="22"/>
        <v>2.3959999999999999</v>
      </c>
      <c r="I58" s="20">
        <f t="shared" ca="1" si="22"/>
        <v>2.3149999999999999</v>
      </c>
      <c r="J58" s="20">
        <f t="shared" ca="1" si="8"/>
        <v>2.3149999999999999</v>
      </c>
    </row>
    <row r="59" spans="1:10">
      <c r="A59" s="20" t="s">
        <v>253</v>
      </c>
      <c r="B59" s="20" t="s">
        <v>199</v>
      </c>
      <c r="C59" s="20">
        <f t="shared" ref="C59:I59" ca="1" si="23">VLOOKUP($B59,INDIRECT(CONCATENATE($A59,"_cap_ef")),C$43-1998,FALSE)</f>
        <v>5.7000000000000002E-2</v>
      </c>
      <c r="D59" s="20">
        <f t="shared" ca="1" si="23"/>
        <v>4.9000000000000002E-2</v>
      </c>
      <c r="E59" s="20">
        <f t="shared" ca="1" si="23"/>
        <v>4.2999999999999997E-2</v>
      </c>
      <c r="F59" s="20">
        <f t="shared" ca="1" si="23"/>
        <v>3.7999999999999999E-2</v>
      </c>
      <c r="G59" s="20">
        <f t="shared" ca="1" si="23"/>
        <v>3.3000000000000002E-2</v>
      </c>
      <c r="H59" s="20">
        <f t="shared" ca="1" si="23"/>
        <v>2.9000000000000001E-2</v>
      </c>
      <c r="I59" s="20">
        <f t="shared" ca="1" si="23"/>
        <v>2.5999999999999999E-2</v>
      </c>
      <c r="J59" s="20">
        <f t="shared" ca="1" si="8"/>
        <v>2.5999999999999999E-2</v>
      </c>
    </row>
    <row r="60" spans="1:10">
      <c r="A60" s="20" t="s">
        <v>253</v>
      </c>
      <c r="B60" s="20" t="s">
        <v>200</v>
      </c>
      <c r="C60" s="20">
        <f t="shared" ref="C60:I60" ca="1" si="24">VLOOKUP($B60,INDIRECT(CONCATENATE($A60,"_cap_ef")),C$43-1998,FALSE)</f>
        <v>8.9999999999999993E-3</v>
      </c>
      <c r="D60" s="20">
        <f t="shared" ca="1" si="24"/>
        <v>8.9999999999999993E-3</v>
      </c>
      <c r="E60" s="20">
        <f t="shared" ca="1" si="24"/>
        <v>8.9999999999999993E-3</v>
      </c>
      <c r="F60" s="20">
        <f t="shared" ca="1" si="24"/>
        <v>8.9999999999999993E-3</v>
      </c>
      <c r="G60" s="20">
        <f t="shared" ca="1" si="24"/>
        <v>8.9999999999999993E-3</v>
      </c>
      <c r="H60" s="20">
        <f t="shared" ca="1" si="24"/>
        <v>8.9999999999999993E-3</v>
      </c>
      <c r="I60" s="20">
        <f t="shared" ca="1" si="24"/>
        <v>8.9999999999999993E-3</v>
      </c>
      <c r="J60" s="20">
        <f t="shared" ca="1" si="8"/>
        <v>8.9999999999999993E-3</v>
      </c>
    </row>
    <row r="61" spans="1:10">
      <c r="A61" s="20" t="s">
        <v>253</v>
      </c>
      <c r="B61" s="20" t="s">
        <v>201</v>
      </c>
      <c r="C61" s="20">
        <f t="shared" ref="C61:I61" ca="1" si="25">VLOOKUP($B61,INDIRECT(CONCATENATE($A61,"_cap_ef")),C$43-1998,FALSE)</f>
        <v>4.0000000000000001E-3</v>
      </c>
      <c r="D61" s="20">
        <f t="shared" ca="1" si="25"/>
        <v>4.0000000000000001E-3</v>
      </c>
      <c r="E61" s="20">
        <f t="shared" ca="1" si="25"/>
        <v>4.0000000000000001E-3</v>
      </c>
      <c r="F61" s="20">
        <f t="shared" ca="1" si="25"/>
        <v>3.0000000000000001E-3</v>
      </c>
      <c r="G61" s="20">
        <f t="shared" ca="1" si="25"/>
        <v>3.0000000000000001E-3</v>
      </c>
      <c r="H61" s="20">
        <f t="shared" ca="1" si="25"/>
        <v>3.0000000000000001E-3</v>
      </c>
      <c r="I61" s="20">
        <f t="shared" ca="1" si="25"/>
        <v>3.0000000000000001E-3</v>
      </c>
      <c r="J61" s="20">
        <f t="shared" ca="1" si="8"/>
        <v>3.0000000000000001E-3</v>
      </c>
    </row>
    <row r="62" spans="1:10">
      <c r="A62" s="20" t="s">
        <v>254</v>
      </c>
      <c r="B62" s="20" t="s">
        <v>196</v>
      </c>
      <c r="C62" s="20">
        <f t="shared" ref="C62:I62" ca="1" si="26">VLOOKUP($B62,INDIRECT(CONCATENATE($A62,"_cap_ef")),C$43-1998,FALSE)</f>
        <v>2.6139999999999999</v>
      </c>
      <c r="D62" s="20">
        <f t="shared" ca="1" si="26"/>
        <v>2.61</v>
      </c>
      <c r="E62" s="20">
        <f t="shared" ca="1" si="26"/>
        <v>2.6019999999999999</v>
      </c>
      <c r="F62" s="20">
        <f t="shared" ca="1" si="26"/>
        <v>2.5910000000000002</v>
      </c>
      <c r="G62" s="20">
        <f t="shared" ca="1" si="26"/>
        <v>2.5449999999999999</v>
      </c>
      <c r="H62" s="20">
        <f t="shared" ca="1" si="26"/>
        <v>2.5259999999999998</v>
      </c>
      <c r="I62" s="20">
        <f t="shared" ca="1" si="26"/>
        <v>2.504</v>
      </c>
      <c r="J62" s="20">
        <f t="shared" ca="1" si="8"/>
        <v>2.504</v>
      </c>
    </row>
    <row r="63" spans="1:10">
      <c r="A63" s="20" t="s">
        <v>254</v>
      </c>
      <c r="B63" s="20" t="s">
        <v>197</v>
      </c>
      <c r="C63" s="20">
        <f t="shared" ref="C63:I63" ca="1" si="27">VLOOKUP($B63,INDIRECT(CONCATENATE($A63,"_cap_ef")),C$43-1998,FALSE)</f>
        <v>12.718999999999999</v>
      </c>
      <c r="D63" s="20">
        <f t="shared" ca="1" si="27"/>
        <v>12.57</v>
      </c>
      <c r="E63" s="20">
        <f t="shared" ca="1" si="27"/>
        <v>12.430999999999999</v>
      </c>
      <c r="F63" s="20">
        <f t="shared" ca="1" si="27"/>
        <v>12.302</v>
      </c>
      <c r="G63" s="20">
        <f t="shared" ca="1" si="27"/>
        <v>12.18</v>
      </c>
      <c r="H63" s="20">
        <f t="shared" ca="1" si="27"/>
        <v>12.061999999999999</v>
      </c>
      <c r="I63" s="20">
        <f t="shared" ca="1" si="27"/>
        <v>11.948</v>
      </c>
      <c r="J63" s="20">
        <f t="shared" ca="1" si="8"/>
        <v>11.948</v>
      </c>
    </row>
    <row r="64" spans="1:10">
      <c r="A64" s="20" t="s">
        <v>254</v>
      </c>
      <c r="B64" s="20" t="s">
        <v>198</v>
      </c>
      <c r="C64" s="20">
        <f t="shared" ref="C64:I64" ca="1" si="28">VLOOKUP($B64,INDIRECT(CONCATENATE($A64,"_cap_ef")),C$43-1998,FALSE)</f>
        <v>0.63400000000000001</v>
      </c>
      <c r="D64" s="20">
        <f t="shared" ca="1" si="28"/>
        <v>0.63200000000000001</v>
      </c>
      <c r="E64" s="20">
        <f t="shared" ca="1" si="28"/>
        <v>0.63100000000000001</v>
      </c>
      <c r="F64" s="20">
        <f t="shared" ca="1" si="28"/>
        <v>0.629</v>
      </c>
      <c r="G64" s="20">
        <f t="shared" ca="1" si="28"/>
        <v>0.628</v>
      </c>
      <c r="H64" s="20">
        <f t="shared" ca="1" si="28"/>
        <v>0.626</v>
      </c>
      <c r="I64" s="20">
        <f t="shared" ca="1" si="28"/>
        <v>0.625</v>
      </c>
      <c r="J64" s="20">
        <f t="shared" ca="1" si="8"/>
        <v>0.625</v>
      </c>
    </row>
    <row r="65" spans="1:10">
      <c r="A65" s="20" t="s">
        <v>254</v>
      </c>
      <c r="B65" s="20" t="s">
        <v>199</v>
      </c>
      <c r="C65" s="20">
        <f t="shared" ref="C65:I65" ca="1" si="29">VLOOKUP($B65,INDIRECT(CONCATENATE($A65,"_cap_ef")),C$43-1998,FALSE)</f>
        <v>2.1000000000000001E-2</v>
      </c>
      <c r="D65" s="20">
        <f t="shared" ca="1" si="29"/>
        <v>2.1000000000000001E-2</v>
      </c>
      <c r="E65" s="20">
        <f t="shared" ca="1" si="29"/>
        <v>2.1000000000000001E-2</v>
      </c>
      <c r="F65" s="20">
        <f t="shared" ca="1" si="29"/>
        <v>2.1000000000000001E-2</v>
      </c>
      <c r="G65" s="20">
        <f t="shared" ca="1" si="29"/>
        <v>2.1000000000000001E-2</v>
      </c>
      <c r="H65" s="20">
        <f t="shared" ca="1" si="29"/>
        <v>2.1000000000000001E-2</v>
      </c>
      <c r="I65" s="20">
        <f t="shared" ca="1" si="29"/>
        <v>2.1000000000000001E-2</v>
      </c>
      <c r="J65" s="20">
        <f t="shared" ca="1" si="8"/>
        <v>2.1000000000000001E-2</v>
      </c>
    </row>
    <row r="66" spans="1:10">
      <c r="A66" s="20" t="s">
        <v>254</v>
      </c>
      <c r="B66" s="20" t="s">
        <v>200</v>
      </c>
      <c r="C66" s="20">
        <f t="shared" ref="C66:I66" ca="1" si="30">VLOOKUP($B66,INDIRECT(CONCATENATE($A66,"_cap_ef")),C$43-1998,FALSE)</f>
        <v>2E-3</v>
      </c>
      <c r="D66" s="20">
        <f t="shared" ca="1" si="30"/>
        <v>2E-3</v>
      </c>
      <c r="E66" s="20">
        <f t="shared" ca="1" si="30"/>
        <v>2E-3</v>
      </c>
      <c r="F66" s="20">
        <f t="shared" ca="1" si="30"/>
        <v>2E-3</v>
      </c>
      <c r="G66" s="20">
        <f t="shared" ca="1" si="30"/>
        <v>2E-3</v>
      </c>
      <c r="H66" s="20">
        <f t="shared" ca="1" si="30"/>
        <v>2E-3</v>
      </c>
      <c r="I66" s="20">
        <f t="shared" ca="1" si="30"/>
        <v>2E-3</v>
      </c>
      <c r="J66" s="20">
        <f t="shared" ca="1" si="8"/>
        <v>2E-3</v>
      </c>
    </row>
    <row r="67" spans="1:10">
      <c r="A67" s="20" t="s">
        <v>254</v>
      </c>
      <c r="B67" s="20" t="s">
        <v>201</v>
      </c>
      <c r="C67" s="20">
        <f t="shared" ref="C67:I67" ca="1" si="31">VLOOKUP($B67,INDIRECT(CONCATENATE($A67,"_cap_ef")),C$43-1998,FALSE)</f>
        <v>1E-3</v>
      </c>
      <c r="D67" s="20">
        <f t="shared" ca="1" si="31"/>
        <v>1E-3</v>
      </c>
      <c r="E67" s="20">
        <f t="shared" ca="1" si="31"/>
        <v>1E-3</v>
      </c>
      <c r="F67" s="20">
        <f t="shared" ca="1" si="31"/>
        <v>1E-3</v>
      </c>
      <c r="G67" s="20">
        <f t="shared" ca="1" si="31"/>
        <v>1E-3</v>
      </c>
      <c r="H67" s="20">
        <f t="shared" ca="1" si="31"/>
        <v>1E-3</v>
      </c>
      <c r="I67" s="20">
        <f t="shared" ca="1" si="31"/>
        <v>1E-3</v>
      </c>
      <c r="J67" s="20">
        <f t="shared" ca="1" si="8"/>
        <v>1E-3</v>
      </c>
    </row>
  </sheetData>
  <hyperlinks>
    <hyperlink ref="C2" r:id="rId1" xr:uid="{00000000-0004-0000-0600-000000000000}"/>
    <hyperlink ref="C3" r:id="rId2" xr:uid="{00000000-0004-0000-0600-000001000000}"/>
    <hyperlink ref="C4" r:id="rId3" xr:uid="{00000000-0004-0000-0600-000002000000}"/>
    <hyperlink ref="C5" r:id="rId4" xr:uid="{00000000-0004-0000-0600-000003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59999389629810485"/>
    <outlinePr summaryBelow="0" summaryRight="0"/>
  </sheetPr>
  <dimension ref="A1:Q997"/>
  <sheetViews>
    <sheetView workbookViewId="0"/>
  </sheetViews>
  <sheetFormatPr defaultColWidth="12.5546875" defaultRowHeight="15.75" customHeight="1"/>
  <cols>
    <col min="6" max="6" width="24.44140625" customWidth="1"/>
  </cols>
  <sheetData>
    <row r="1" spans="1:17" ht="13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ht="13.2">
      <c r="A2" s="2"/>
      <c r="B2" s="2"/>
      <c r="C2" s="2"/>
      <c r="D2" s="9"/>
      <c r="E2" s="9"/>
      <c r="F2" s="98"/>
      <c r="G2" s="98"/>
      <c r="H2" s="98"/>
      <c r="I2" s="98"/>
      <c r="J2" s="98"/>
      <c r="K2" s="98"/>
      <c r="L2" s="98"/>
      <c r="M2" s="98"/>
      <c r="N2" s="98"/>
      <c r="O2" s="98"/>
      <c r="P2" s="9"/>
      <c r="Q2" s="9"/>
    </row>
    <row r="3" spans="1:17" ht="15.75" customHeight="1">
      <c r="A3" s="2"/>
      <c r="B3" s="99" t="s">
        <v>255</v>
      </c>
      <c r="C3" s="2"/>
      <c r="D3" s="9"/>
      <c r="E3" s="9"/>
      <c r="F3" s="2"/>
      <c r="G3" s="2"/>
      <c r="H3" s="2"/>
      <c r="I3" s="2"/>
      <c r="J3" s="2"/>
      <c r="K3" s="2"/>
      <c r="L3" s="2"/>
      <c r="M3" s="2"/>
      <c r="N3" s="2"/>
      <c r="O3" s="2"/>
      <c r="P3" s="9"/>
      <c r="Q3" s="9"/>
    </row>
    <row r="4" spans="1:17" ht="13.2">
      <c r="A4" s="100"/>
      <c r="B4" s="2" t="s">
        <v>256</v>
      </c>
      <c r="C4" s="2"/>
      <c r="D4" s="9"/>
      <c r="E4" s="9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9"/>
    </row>
    <row r="5" spans="1:17" ht="13.2">
      <c r="A5" s="2"/>
      <c r="B5" s="2"/>
      <c r="C5" s="2"/>
      <c r="D5" s="101" t="s">
        <v>13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17" ht="13.2">
      <c r="A6" s="2"/>
      <c r="B6" s="2" t="s">
        <v>257</v>
      </c>
      <c r="C6" s="9" t="s">
        <v>258</v>
      </c>
      <c r="D6" s="102">
        <v>338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9"/>
    </row>
    <row r="7" spans="1:17" ht="13.2">
      <c r="A7" s="2"/>
      <c r="B7" s="24"/>
      <c r="C7" s="2" t="s">
        <v>259</v>
      </c>
      <c r="D7" s="9">
        <f>D6*D14</f>
        <v>3638.2017152000003</v>
      </c>
      <c r="E7" s="9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9"/>
    </row>
    <row r="8" spans="1:17" ht="13.2">
      <c r="A8" s="2"/>
      <c r="B8" s="24" t="s">
        <v>260</v>
      </c>
      <c r="C8" s="9" t="s">
        <v>261</v>
      </c>
      <c r="D8" s="102">
        <v>46.8</v>
      </c>
      <c r="E8" s="9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9"/>
    </row>
    <row r="9" spans="1:17" ht="13.2">
      <c r="A9" s="2"/>
      <c r="B9" s="24" t="s">
        <v>262</v>
      </c>
      <c r="C9" s="9" t="s">
        <v>263</v>
      </c>
      <c r="D9" s="102">
        <v>53</v>
      </c>
      <c r="E9" s="9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9"/>
    </row>
    <row r="10" spans="1:17" ht="13.2">
      <c r="A10" s="103"/>
      <c r="B10" s="2"/>
      <c r="C10" s="9" t="s">
        <v>264</v>
      </c>
      <c r="D10" s="8">
        <f>D9*1000</f>
        <v>53000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9"/>
    </row>
    <row r="11" spans="1:17" ht="13.2">
      <c r="A11" s="2"/>
      <c r="B11" s="2"/>
      <c r="C11" s="2" t="s">
        <v>265</v>
      </c>
      <c r="D11" s="104">
        <f>D10/(D8*8760)</f>
        <v>0.12927838270304023</v>
      </c>
      <c r="E11" s="9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9"/>
    </row>
    <row r="12" spans="1:17" ht="13.2">
      <c r="A12" s="2"/>
      <c r="B12" s="2"/>
      <c r="C12" s="2" t="s">
        <v>266</v>
      </c>
      <c r="D12" s="105">
        <f>D10/D8</f>
        <v>1132.4786324786326</v>
      </c>
      <c r="E12" s="9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9"/>
    </row>
    <row r="13" spans="1:17" ht="13.2">
      <c r="A13" s="2"/>
      <c r="B13" s="2"/>
      <c r="C13" s="2" t="s">
        <v>267</v>
      </c>
      <c r="D13" s="106">
        <f>D10/(D6*1000000)</f>
        <v>1.5680473372781066E-4</v>
      </c>
      <c r="E13" s="9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9"/>
    </row>
    <row r="14" spans="1:17" ht="13.2">
      <c r="A14" s="2"/>
      <c r="B14" s="2"/>
      <c r="C14" s="9" t="s">
        <v>268</v>
      </c>
      <c r="D14" s="23">
        <v>10.7639104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9"/>
    </row>
    <row r="15" spans="1:17" ht="13.2">
      <c r="A15" s="2"/>
      <c r="B15" s="2"/>
      <c r="C15" s="9" t="s">
        <v>269</v>
      </c>
      <c r="D15" s="23">
        <v>2.9310000000000002E-4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9"/>
    </row>
    <row r="16" spans="1:17" ht="13.2">
      <c r="A16" s="2"/>
      <c r="B16" s="2"/>
      <c r="C16" s="2"/>
      <c r="D16" s="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9"/>
    </row>
    <row r="17" spans="1:17" ht="13.2">
      <c r="A17" s="2"/>
      <c r="B17" s="2"/>
      <c r="E17" s="9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9"/>
    </row>
    <row r="18" spans="1:17" ht="13.2">
      <c r="A18" s="2"/>
      <c r="B18" s="2"/>
      <c r="C18" s="2"/>
      <c r="D18" s="9"/>
      <c r="E18" s="9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9"/>
    </row>
    <row r="19" spans="1:17" ht="13.2">
      <c r="A19" s="2"/>
      <c r="B19" s="2"/>
      <c r="C19" s="2"/>
      <c r="D19" s="9"/>
      <c r="E19" s="9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9"/>
    </row>
    <row r="20" spans="1:17" ht="13.2">
      <c r="A20" s="2"/>
      <c r="B20" s="9"/>
      <c r="C20" s="2"/>
      <c r="D20" s="9"/>
      <c r="E20" s="9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9"/>
    </row>
    <row r="21" spans="1:17" ht="13.2">
      <c r="A21" s="2"/>
      <c r="B21" s="9"/>
      <c r="C21" s="2"/>
      <c r="D21" s="9"/>
      <c r="E21" s="9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9"/>
    </row>
    <row r="22" spans="1:17" ht="13.2">
      <c r="A22" s="2"/>
      <c r="B22" s="9"/>
      <c r="C22" s="2"/>
      <c r="D22" s="9"/>
      <c r="E22" s="9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9"/>
    </row>
    <row r="23" spans="1:17" ht="13.2">
      <c r="A23" s="2"/>
      <c r="B23" s="9"/>
      <c r="C23" s="2"/>
      <c r="D23" s="9"/>
      <c r="E23" s="9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9"/>
    </row>
    <row r="24" spans="1:17" ht="13.2">
      <c r="A24" s="2"/>
      <c r="B24" s="9"/>
      <c r="C24" s="2"/>
      <c r="D24" s="9"/>
      <c r="E24" s="9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9"/>
    </row>
    <row r="25" spans="1:17" ht="13.2">
      <c r="A25" s="2"/>
      <c r="B25" s="9"/>
      <c r="C25" s="2"/>
      <c r="D25" s="9"/>
      <c r="E25" s="9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9"/>
    </row>
    <row r="26" spans="1:17" ht="13.2">
      <c r="A26" s="2"/>
      <c r="B26" s="9"/>
      <c r="C26" s="2"/>
      <c r="D26" s="9"/>
      <c r="E26" s="9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9"/>
    </row>
    <row r="27" spans="1:17" ht="13.2">
      <c r="A27" s="2"/>
      <c r="B27" s="9"/>
      <c r="C27" s="2"/>
      <c r="D27" s="9"/>
      <c r="E27" s="9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9"/>
    </row>
    <row r="28" spans="1:17" ht="13.2">
      <c r="A28" s="2"/>
      <c r="B28" s="9"/>
      <c r="C28" s="2"/>
      <c r="D28" s="9"/>
      <c r="E28" s="9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9"/>
    </row>
    <row r="29" spans="1:17" ht="13.2">
      <c r="A29" s="2"/>
      <c r="B29" s="2"/>
      <c r="C29" s="2"/>
      <c r="D29" s="9"/>
      <c r="E29" s="9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</row>
    <row r="30" spans="1:17" ht="13.2">
      <c r="A30" s="2"/>
      <c r="B30" s="2"/>
      <c r="C30" s="2"/>
      <c r="D30" s="9"/>
      <c r="E30" s="9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</row>
    <row r="31" spans="1:17" ht="13.2">
      <c r="A31" s="2"/>
      <c r="B31" s="2"/>
      <c r="C31" s="2"/>
      <c r="D31" s="9"/>
      <c r="E31" s="107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</row>
    <row r="32" spans="1:17" ht="13.2">
      <c r="A32" s="2"/>
      <c r="B32" s="2"/>
      <c r="C32" s="2"/>
      <c r="D32" s="9"/>
      <c r="E32" s="107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</row>
    <row r="33" spans="1:17" ht="13.2">
      <c r="A33" s="2"/>
      <c r="B33" s="2"/>
      <c r="C33" s="2"/>
      <c r="D33" s="107"/>
      <c r="E33" s="107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</row>
    <row r="34" spans="1:17" ht="13.2">
      <c r="A34" s="2"/>
      <c r="B34" s="2"/>
      <c r="C34" s="2"/>
      <c r="D34" s="9"/>
      <c r="E34" s="107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</row>
    <row r="35" spans="1:17" ht="13.2">
      <c r="A35" s="2"/>
      <c r="B35" s="2"/>
      <c r="C35" s="2"/>
      <c r="D35" s="107"/>
      <c r="E35" s="107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</row>
    <row r="36" spans="1:17" ht="13.2">
      <c r="A36" s="2"/>
      <c r="B36" s="2"/>
      <c r="C36" s="2"/>
      <c r="D36" s="107"/>
      <c r="E36" s="107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</row>
    <row r="37" spans="1:17" ht="13.2">
      <c r="A37" s="2"/>
      <c r="B37" s="2"/>
      <c r="C37" s="2"/>
      <c r="D37" s="107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</row>
    <row r="38" spans="1:17" ht="13.2">
      <c r="A38" s="2"/>
      <c r="B38" s="2"/>
      <c r="C38" s="2"/>
      <c r="D38" s="107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</row>
    <row r="39" spans="1:17" ht="13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</row>
    <row r="40" spans="1:17" ht="13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</row>
    <row r="41" spans="1:17" ht="13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</row>
    <row r="42" spans="1:17" ht="13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</row>
    <row r="43" spans="1:17" ht="13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</row>
    <row r="44" spans="1:17" ht="13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</row>
    <row r="45" spans="1:17" ht="13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</row>
    <row r="46" spans="1:17" ht="13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</row>
    <row r="47" spans="1:17" ht="13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spans="1:17" ht="13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spans="1:17" ht="13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spans="1:17" ht="13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spans="1:17" ht="13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spans="1:17" ht="13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spans="1:17" ht="13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spans="1:17" ht="13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spans="1:17" ht="13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spans="1:17" ht="13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spans="1:17" ht="13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spans="1:17" ht="13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spans="1:17" ht="13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spans="1:17" ht="13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spans="1:17" ht="13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spans="1:17" ht="13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spans="1:17" ht="13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spans="1:17" ht="13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spans="1:17" ht="13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spans="1:17" ht="13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spans="1:17" ht="13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spans="1:17" ht="13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spans="1:17" ht="13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spans="1:17" ht="13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spans="1:17" ht="13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spans="1:17" ht="13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spans="1:17" ht="13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spans="1:17" ht="13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spans="1:17" ht="13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spans="1:17" ht="13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1:17" ht="13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spans="1:17" ht="13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1:17" ht="13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1:17" ht="13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spans="1:17" ht="13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spans="1:17" ht="13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spans="1:17" ht="13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spans="1:17" ht="13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spans="1:17" ht="13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spans="1:17" ht="13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spans="1:17" ht="13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spans="1:17" ht="13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spans="1:17" ht="13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spans="1:17" ht="13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spans="1:17" ht="13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spans="1:17" ht="13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spans="1:17" ht="13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spans="1:17" ht="13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spans="1:17" ht="13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spans="1:17" ht="13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spans="1:17" ht="13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spans="1:17" ht="13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spans="1:17" ht="13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7" ht="13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7" ht="13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7" ht="13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7" ht="13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7" ht="13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7" ht="13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7" ht="13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7" ht="13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7" ht="13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7" ht="13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spans="1:17" ht="13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spans="1:17" ht="13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spans="1:17" ht="13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spans="1:17" ht="13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spans="1:17" ht="13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spans="1:17" ht="13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spans="1:17" ht="13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spans="1:17" ht="13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spans="1:17" ht="13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spans="1:17" ht="13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spans="1:17" ht="13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spans="1:17" ht="13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spans="1:17" ht="13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spans="1:17" ht="13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spans="1:17" ht="13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spans="1:17" ht="13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spans="1:17" ht="13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spans="1:17" ht="13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spans="1:17" ht="13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spans="1:17" ht="13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spans="1:17" ht="13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spans="1:17" ht="13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spans="1:17" ht="13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spans="1:17" ht="13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spans="1:17" ht="13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spans="1:17" ht="13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spans="1:17" ht="13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spans="1:17" ht="13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spans="1:17" ht="13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spans="1:17" ht="13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spans="1:17" ht="13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spans="1:17" ht="13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spans="1:17" ht="13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spans="1:17" ht="13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spans="1:17" ht="13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spans="1:17" ht="13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spans="1:17" ht="13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spans="1:17" ht="13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spans="1:17" ht="13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spans="1:17" ht="13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spans="1:17" ht="13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spans="1:17" ht="13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spans="1:17" ht="13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spans="1:17" ht="13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spans="1:17" ht="13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spans="1:17" ht="13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spans="1:17" ht="13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spans="1:17" ht="13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spans="1:17" ht="13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spans="1:17" ht="13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spans="1:17" ht="13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spans="1:17" ht="13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spans="1:17" ht="13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spans="1:17" ht="13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spans="1:17" ht="13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spans="1:17" ht="13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spans="1:17" ht="13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spans="1:17" ht="13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spans="1:17" ht="13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spans="1:17" ht="13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spans="1:17" ht="13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spans="1:17" ht="13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spans="1:17" ht="13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spans="1:17" ht="13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spans="1:17" ht="13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spans="1:17" ht="13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spans="1:17" ht="13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spans="1:17" ht="13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spans="1:17" ht="13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spans="1:17" ht="13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spans="1:17" ht="13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spans="1:17" ht="13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spans="1:17" ht="13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spans="1:17" ht="13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spans="1:17" ht="13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spans="1:17" ht="13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spans="1:17" ht="13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spans="1:17" ht="13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spans="1:17" ht="13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spans="1:17" ht="13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spans="1:17" ht="13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spans="1:17" ht="13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spans="1:17" ht="13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17" ht="13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spans="1:17" ht="13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spans="1:17" ht="13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spans="1:17" ht="13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spans="1:17" ht="13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spans="1:17" ht="13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spans="1:17" ht="13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spans="1:17" ht="13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spans="1:17" ht="13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spans="1:17" ht="13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spans="1:17" ht="13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spans="1:17" ht="13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spans="1:17" ht="13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spans="1:17" ht="13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spans="1:17" ht="13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spans="1:17" ht="13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spans="1:17" ht="13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spans="1:17" ht="13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1:17" ht="13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spans="1:17" ht="13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spans="1:17" ht="13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spans="1:17" ht="13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spans="1:17" ht="13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spans="1:17" ht="13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spans="1:17" ht="13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spans="1:17" ht="13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spans="1:17" ht="13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spans="1:17" ht="13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spans="1:17" ht="13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spans="1:17" ht="13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spans="1:17" ht="13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spans="1:17" ht="13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spans="1:17" ht="13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spans="1:17" ht="13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spans="1:17" ht="13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spans="1:17" ht="13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spans="1:17" ht="13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spans="1:17" ht="13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spans="1:17" ht="13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spans="1:17" ht="13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spans="1:17" ht="13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spans="1:17" ht="13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spans="1:17" ht="13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spans="1:17" ht="13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spans="1:17" ht="13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spans="1:17" ht="13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spans="1:17" ht="13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spans="1:17" ht="13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spans="1:17" ht="13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spans="1:17" ht="13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spans="1:17" ht="13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spans="1:17" ht="13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spans="1:17" ht="13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spans="1:17" ht="13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spans="1:17" ht="13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spans="1:17" ht="13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spans="1:17" ht="13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spans="1:17" ht="13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spans="1:17" ht="13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spans="1:17" ht="13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spans="1:17" ht="13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spans="1:17" ht="13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spans="1:17" ht="13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spans="1:17" ht="13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spans="1:17" ht="13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spans="1:17" ht="13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spans="1:17" ht="13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spans="1:17" ht="13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spans="1:17" ht="13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spans="1:17" ht="13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spans="1:17" ht="13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spans="1:17" ht="13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spans="1:17" ht="13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spans="1:17" ht="13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spans="1:17" ht="13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spans="1:17" ht="13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spans="1:17" ht="13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spans="1:17" ht="13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spans="1:17" ht="13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spans="1:17" ht="13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spans="1:17" ht="13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spans="1:17" ht="13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spans="1:17" ht="13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spans="1:17" ht="13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spans="1:17" ht="13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spans="1:17" ht="13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spans="1:17" ht="13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spans="1:17" ht="13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spans="1:17" ht="13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spans="1:17" ht="13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spans="1:17" ht="13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spans="1:17" ht="13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spans="1:17" ht="13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spans="1:17" ht="13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spans="1:17" ht="13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spans="1:17" ht="13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spans="1:17" ht="13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spans="1:17" ht="13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spans="1:17" ht="13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spans="1:17" ht="13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spans="1:17" ht="13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spans="1:17" ht="13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spans="1:17" ht="13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spans="1:17" ht="13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spans="1:17" ht="13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spans="1:17" ht="13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spans="1:17" ht="13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spans="1:17" ht="13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spans="1:17" ht="13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spans="1:17" ht="13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spans="1:17" ht="13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spans="1:17" ht="13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spans="1:17" ht="13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spans="1:17" ht="13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spans="1:17" ht="13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spans="1:17" ht="13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spans="1:17" ht="13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spans="1:17" ht="13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spans="1:17" ht="13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spans="1:17" ht="13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spans="1:17" ht="13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spans="1:17" ht="13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spans="1:17" ht="13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spans="1:17" ht="13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spans="1:17" ht="13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spans="1:17" ht="13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spans="1:17" ht="13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spans="1:17" ht="13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spans="1:17" ht="13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spans="1:17" ht="13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spans="1:17" ht="13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spans="1:17" ht="13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spans="1:17" ht="13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spans="1:17" ht="13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spans="1:17" ht="13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spans="1:17" ht="13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spans="1:17" ht="13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spans="1:17" ht="13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spans="1:17" ht="13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spans="1:17" ht="13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spans="1:17" ht="13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spans="1:17" ht="13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spans="1:17" ht="13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spans="1:17" ht="13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spans="1:17" ht="13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spans="1:17" ht="13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spans="1:17" ht="13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spans="1:17" ht="13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spans="1:17" ht="13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spans="1:17" ht="13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spans="1:17" ht="13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spans="1:17" ht="13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spans="1:17" ht="13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spans="1:17" ht="13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spans="1:17" ht="13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spans="1:17" ht="13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spans="1:17" ht="13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spans="1:17" ht="13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spans="1:17" ht="13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spans="1:17" ht="13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spans="1:17" ht="13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spans="1:17" ht="13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spans="1:17" ht="13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spans="1:17" ht="13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spans="1:17" ht="13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spans="1:17" ht="13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spans="1:17" ht="13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spans="1:17" ht="13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spans="1:17" ht="13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spans="1:17" ht="13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spans="1:17" ht="13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spans="1:17" ht="13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spans="1:17" ht="13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spans="1:17" ht="13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spans="1:17" ht="13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spans="1:17" ht="13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spans="1:17" ht="13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spans="1:17" ht="13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spans="1:17" ht="13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spans="1:17" ht="13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spans="1:17" ht="13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spans="1:17" ht="13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spans="1:17" ht="13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spans="1:17" ht="13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spans="1:17" ht="13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spans="1:17" ht="13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spans="1:17" ht="13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spans="1:17" ht="13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spans="1:17" ht="13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spans="1:17" ht="13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spans="1:17" ht="13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spans="1:17" ht="13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spans="1:17" ht="13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spans="1:17" ht="13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spans="1:17" ht="13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spans="1:17" ht="13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spans="1:17" ht="13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spans="1:17" ht="13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spans="1:17" ht="13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spans="1:17" ht="13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spans="1:17" ht="13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spans="1:17" ht="13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spans="1:17" ht="13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spans="1:17" ht="13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spans="1:17" ht="13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spans="1:17" ht="13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spans="1:17" ht="13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spans="1:17" ht="13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spans="1:17" ht="13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spans="1:17" ht="13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spans="1:17" ht="13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spans="1:17" ht="13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spans="1:17" ht="13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spans="1:17" ht="13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spans="1:17" ht="13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spans="1:17" ht="13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spans="1:17" ht="13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spans="1:17" ht="13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spans="1:17" ht="13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spans="1:17" ht="13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spans="1:17" ht="13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spans="1:17" ht="13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spans="1:17" ht="13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spans="1:17" ht="13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spans="1:17" ht="13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spans="1:17" ht="13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spans="1:17" ht="13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spans="1:17" ht="13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spans="1:17" ht="13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spans="1:17" ht="13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spans="1:17" ht="13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spans="1:17" ht="13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spans="1:17" ht="13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spans="1:17" ht="13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spans="1:17" ht="13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spans="1:17" ht="13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spans="1:17" ht="13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spans="1:17" ht="13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spans="1:17" ht="13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spans="1:17" ht="13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spans="1:17" ht="13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spans="1:17" ht="13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spans="1:17" ht="13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spans="1:17" ht="13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spans="1:17" ht="13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spans="1:17" ht="13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spans="1:17" ht="13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spans="1:17" ht="13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spans="1:17" ht="13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spans="1:17" ht="13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spans="1:17" ht="13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spans="1:17" ht="13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spans="1:17" ht="13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spans="1:17" ht="13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spans="1:17" ht="13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spans="1:17" ht="13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spans="1:17" ht="13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spans="1:17" ht="13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spans="1:17" ht="13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spans="1:17" ht="13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spans="1:17" ht="13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spans="1:17" ht="13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spans="1:17" ht="13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spans="1:17" ht="13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spans="1:17" ht="13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spans="1:17" ht="13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spans="1:17" ht="13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spans="1:17" ht="13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spans="1:17" ht="13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spans="1:17" ht="13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spans="1:17" ht="13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spans="1:17" ht="13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spans="1:17" ht="13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spans="1:17" ht="13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spans="1:17" ht="13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spans="1:17" ht="13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spans="1:17" ht="13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spans="1:17" ht="13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spans="1:17" ht="13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spans="1:17" ht="13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spans="1:17" ht="13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spans="1:17" ht="13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spans="1:17" ht="13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spans="1:17" ht="13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spans="1:17" ht="13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spans="1:17" ht="13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spans="1:17" ht="13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spans="1:17" ht="13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spans="1:17" ht="13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spans="1:17" ht="13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spans="1:17" ht="13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spans="1:17" ht="13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spans="1:17" ht="13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spans="1:17" ht="13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spans="1:17" ht="13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spans="1:17" ht="13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spans="1:17" ht="13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spans="1:17" ht="13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spans="1:17" ht="13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spans="1:17" ht="13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spans="1:17" ht="13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spans="1:17" ht="13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spans="1:17" ht="13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spans="1:17" ht="13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spans="1:17" ht="13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spans="1:17" ht="13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spans="1:17" ht="13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spans="1:17" ht="13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spans="1:17" ht="13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spans="1:17" ht="13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spans="1:17" ht="13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spans="1:17" ht="13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spans="1:17" ht="13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spans="1:17" ht="13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spans="1:17" ht="13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spans="1:17" ht="13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spans="1:17" ht="13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spans="1:17" ht="13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spans="1:17" ht="13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spans="1:17" ht="13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spans="1:17" ht="13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spans="1:17" ht="13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spans="1:17" ht="13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spans="1:17" ht="13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spans="1:17" ht="13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spans="1:17" ht="13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spans="1:17" ht="13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spans="1:17" ht="13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spans="1:17" ht="13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spans="1:17" ht="13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spans="1:17" ht="13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spans="1:17" ht="13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spans="1:17" ht="13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spans="1:17" ht="13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spans="1:17" ht="13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spans="1:17" ht="13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spans="1:17" ht="13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spans="1:17" ht="13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spans="1:17" ht="13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spans="1:17" ht="13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spans="1:17" ht="13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spans="1:17" ht="13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spans="1:17" ht="13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spans="1:17" ht="13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spans="1:17" ht="13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spans="1:17" ht="13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spans="1:17" ht="13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spans="1:17" ht="13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spans="1:17" ht="13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spans="1:17" ht="13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spans="1:17" ht="13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spans="1:17" ht="13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spans="1:17" ht="13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spans="1:17" ht="13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spans="1:17" ht="13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spans="1:17" ht="13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spans="1:17" ht="13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spans="1:17" ht="13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spans="1:17" ht="13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spans="1:17" ht="13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spans="1:17" ht="13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spans="1:17" ht="13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spans="1:17" ht="13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spans="1:17" ht="13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spans="1:17" ht="13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spans="1:17" ht="13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spans="1:17" ht="13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spans="1:17" ht="13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spans="1:17" ht="13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spans="1:17" ht="13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spans="1:17" ht="13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spans="1:17" ht="13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spans="1:17" ht="13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spans="1:17" ht="13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spans="1:17" ht="13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spans="1:17" ht="13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spans="1:17" ht="13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spans="1:17" ht="13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spans="1:17" ht="13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spans="1:17" ht="13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spans="1:17" ht="13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spans="1:17" ht="13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spans="1:17" ht="13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spans="1:17" ht="13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spans="1:17" ht="13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spans="1:17" ht="13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spans="1:17" ht="13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spans="1:17" ht="13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spans="1:17" ht="13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spans="1:17" ht="13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spans="1:17" ht="13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spans="1:17" ht="13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spans="1:17" ht="13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spans="1:17" ht="13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spans="1:17" ht="13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spans="1:17" ht="13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spans="1:17" ht="13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spans="1:17" ht="13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spans="1:17" ht="13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spans="1:17" ht="13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spans="1:17" ht="13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spans="1:17" ht="13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spans="1:17" ht="13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spans="1:17" ht="13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spans="1:17" ht="13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spans="1:17" ht="13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spans="1:17" ht="13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spans="1:17" ht="13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spans="1:17" ht="13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spans="1:17" ht="13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spans="1:17" ht="13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spans="1:17" ht="13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spans="1:17" ht="13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spans="1:17" ht="13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spans="1:17" ht="13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spans="1:17" ht="13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spans="1:17" ht="13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spans="1:17" ht="13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spans="1:17" ht="13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spans="1:17" ht="13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spans="1:17" ht="13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spans="1:17" ht="13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spans="1:17" ht="13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spans="1:17" ht="13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spans="1:17" ht="13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spans="1:17" ht="13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spans="1:17" ht="13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spans="1:17" ht="13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spans="1:17" ht="13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spans="1:17" ht="13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spans="1:17" ht="13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spans="1:17" ht="13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spans="1:17" ht="13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spans="1:17" ht="13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spans="1:17" ht="13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spans="1:17" ht="13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spans="1:17" ht="13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spans="1:17" ht="13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spans="1:17" ht="13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spans="1:17" ht="13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spans="1:17" ht="13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spans="1:17" ht="13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spans="1:17" ht="13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spans="1:17" ht="13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spans="1:17" ht="13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spans="1:17" ht="13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spans="1:17" ht="13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spans="1:17" ht="13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spans="1:17" ht="13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spans="1:17" ht="13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spans="1:17" ht="13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spans="1:17" ht="13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spans="1:17" ht="13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spans="1:17" ht="13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spans="1:17" ht="13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spans="1:17" ht="13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spans="1:17" ht="13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spans="1:17" ht="13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spans="1:17" ht="13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spans="1:17" ht="13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spans="1:17" ht="13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spans="1:17" ht="13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spans="1:17" ht="13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spans="1:17" ht="13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spans="1:17" ht="13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spans="1:17" ht="13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spans="1:17" ht="13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spans="1:17" ht="13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spans="1:17" ht="13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spans="1:17" ht="13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spans="1:17" ht="13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spans="1:17" ht="13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spans="1:17" ht="13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spans="1:17" ht="13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spans="1:17" ht="13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spans="1:17" ht="13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spans="1:17" ht="13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spans="1:17" ht="13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spans="1:17" ht="13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spans="1:17" ht="13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spans="1:17" ht="13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spans="1:17" ht="13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spans="1:17" ht="13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spans="1:17" ht="13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spans="1:17" ht="13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spans="1:17" ht="13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spans="1:17" ht="13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spans="1:17" ht="13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spans="1:17" ht="13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spans="1:17" ht="13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spans="1:17" ht="13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spans="1:17" ht="13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spans="1:17" ht="13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spans="1:17" ht="13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spans="1:17" ht="13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spans="1:17" ht="13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spans="1:17" ht="13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spans="1:17" ht="13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spans="1:17" ht="13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spans="1:17" ht="13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spans="1:17" ht="13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spans="1:17" ht="13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spans="1:17" ht="13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spans="1:17" ht="13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spans="1:17" ht="13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spans="1:17" ht="13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spans="1:17" ht="13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spans="1:17" ht="13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spans="1:17" ht="13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spans="1:17" ht="13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spans="1:17" ht="13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spans="1:17" ht="13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spans="1:17" ht="13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spans="1:17" ht="13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spans="1:17" ht="13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spans="1:17" ht="13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spans="1:17" ht="13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spans="1:17" ht="13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spans="1:17" ht="13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spans="1:17" ht="13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spans="1:17" ht="13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spans="1:17" ht="13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spans="1:17" ht="13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spans="1:17" ht="13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spans="1:17" ht="13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spans="1:17" ht="13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spans="1:17" ht="13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spans="1:17" ht="13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spans="1:17" ht="13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spans="1:17" ht="13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spans="1:17" ht="13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spans="1:17" ht="13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spans="1:17" ht="13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spans="1:17" ht="13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spans="1:17" ht="13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spans="1:17" ht="13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spans="1:17" ht="13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spans="1:17" ht="13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spans="1:17" ht="13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spans="1:17" ht="13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spans="1:17" ht="13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spans="1:17" ht="13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spans="1:17" ht="13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spans="1:17" ht="13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spans="1:17" ht="13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spans="1:17" ht="13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spans="1:17" ht="13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spans="1:17" ht="13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spans="1:17" ht="13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spans="1:17" ht="13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spans="1:17" ht="13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spans="1:17" ht="13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spans="1:17" ht="13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spans="1:17" ht="13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spans="1:17" ht="13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spans="1:17" ht="13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spans="1:17" ht="13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spans="1:17" ht="13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spans="1:17" ht="13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spans="1:17" ht="13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spans="1:17" ht="13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spans="1:17" ht="13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spans="1:17" ht="13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spans="1:17" ht="13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spans="1:17" ht="13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spans="1:17" ht="13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spans="1:17" ht="13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spans="1:17" ht="13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spans="1:17" ht="13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spans="1:17" ht="13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spans="1:17" ht="13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spans="1:17" ht="13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spans="1:17" ht="13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spans="1:17" ht="13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spans="1:17" ht="13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spans="1:17" ht="13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spans="1:17" ht="13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spans="1:17" ht="13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spans="1:17" ht="13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spans="1:17" ht="13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spans="1:17" ht="13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spans="1:17" ht="13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spans="1:17" ht="13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spans="1:17" ht="13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spans="1:17" ht="13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spans="1:17" ht="13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spans="1:17" ht="13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spans="1:17" ht="13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spans="1:17" ht="13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spans="1:17" ht="13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spans="1:17" ht="13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spans="1:17" ht="13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spans="1:17" ht="13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spans="1:17" ht="13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spans="1:17" ht="13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spans="1:17" ht="13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spans="1:17" ht="13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spans="1:17" ht="13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spans="1:17" ht="13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spans="1:17" ht="13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spans="1:17" ht="13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spans="1:17" ht="13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spans="1:17" ht="13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spans="1:17" ht="13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spans="1:17" ht="13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spans="1:17" ht="13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spans="1:17" ht="13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spans="1:17" ht="13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spans="1:17" ht="13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spans="1:17" ht="13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spans="1:17" ht="13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spans="1:17" ht="13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spans="1:17" ht="13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spans="1:17" ht="13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spans="1:17" ht="13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spans="1:17" ht="13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spans="1:17" ht="13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spans="1:17" ht="13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spans="1:17" ht="13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spans="1:17" ht="13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spans="1:17" ht="13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spans="1:17" ht="13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spans="1:17" ht="13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spans="1:17" ht="13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spans="1:17" ht="13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spans="1:17" ht="13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spans="1:17" ht="13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spans="1:17" ht="13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spans="1:17" ht="13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spans="1:17" ht="13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spans="1:17" ht="13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spans="1:17" ht="13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spans="1:17" ht="13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spans="1:17" ht="13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spans="1:17" ht="13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spans="1:17" ht="13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spans="1:17" ht="13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spans="1:17" ht="13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spans="1:17" ht="13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spans="1:17" ht="13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spans="1:17" ht="13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spans="1:17" ht="13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spans="1:17" ht="13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spans="1:17" ht="13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spans="1:17" ht="13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spans="1:17" ht="13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spans="1:17" ht="13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spans="1:17" ht="13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spans="1:17" ht="13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spans="1:17" ht="13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spans="1:17" ht="13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spans="1:17" ht="13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spans="1:17" ht="13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spans="1:17" ht="13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spans="1:17" ht="13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spans="1:17" ht="13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spans="1:17" ht="13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spans="1:17" ht="13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spans="1:17" ht="13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spans="1:17" ht="13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spans="1:17" ht="13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spans="1:17" ht="13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spans="1:17" ht="13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spans="1:17" ht="13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spans="1:17" ht="13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spans="1:17" ht="13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spans="1:17" ht="13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spans="1:17" ht="13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spans="1:17" ht="13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spans="1:17" ht="13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spans="1:17" ht="13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spans="1:17" ht="13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spans="1:17" ht="13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spans="1:17" ht="13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spans="1:17" ht="13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spans="1:17" ht="13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spans="1:17" ht="13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spans="1:17" ht="13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spans="1:17" ht="13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spans="1:17" ht="13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spans="1:17" ht="13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spans="1:17" ht="13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spans="1:17" ht="13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spans="1:17" ht="13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spans="1:17" ht="13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spans="1:17" ht="13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spans="1:17" ht="13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spans="1:17" ht="13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spans="1:17" ht="13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spans="1:17" ht="13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spans="1:17" ht="13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spans="1:17" ht="13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spans="1:17" ht="13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spans="1:17" ht="13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spans="1:17" ht="13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spans="1:17" ht="13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spans="1:17" ht="13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spans="1:17" ht="13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spans="1:17" ht="13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spans="1:17" ht="13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spans="1:17" ht="13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spans="1:17" ht="13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spans="1:17" ht="13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spans="1:17" ht="13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spans="1:17" ht="13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spans="1:17" ht="13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spans="1:17" ht="13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spans="1:17" ht="13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spans="1:17" ht="13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spans="1:17" ht="13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spans="1:17" ht="13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spans="1:17" ht="13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spans="1:17" ht="13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spans="1:17" ht="13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spans="1:17" ht="13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spans="1:17" ht="13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spans="1:17" ht="13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spans="1:17" ht="13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spans="1:17" ht="13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spans="1:17" ht="13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spans="1:17" ht="13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spans="1:17" ht="13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spans="1:17" ht="13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spans="1:17" ht="13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spans="1:17" ht="13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spans="1:17" ht="13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spans="1:17" ht="13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spans="1:17" ht="13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spans="1:17" ht="13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spans="1:17" ht="13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spans="1:17" ht="13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spans="1:17" ht="13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spans="1:17" ht="13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spans="1:17" ht="13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spans="1:17" ht="13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spans="1:17" ht="13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spans="1:17" ht="13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spans="1:17" ht="13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spans="1:17" ht="13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spans="1:17" ht="13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spans="1:17" ht="13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spans="1:17" ht="13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spans="1:17" ht="13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spans="1:17" ht="13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spans="1:17" ht="13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spans="1:17" ht="13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spans="1:17" ht="13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spans="1:17" ht="13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spans="1:17" ht="13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spans="1:17" ht="13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spans="1:17" ht="13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spans="1:17" ht="13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spans="1:17" ht="13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spans="1:17" ht="13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spans="1:17" ht="13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spans="1:17" ht="13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spans="1:17" ht="13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spans="1:17" ht="13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spans="1:17" ht="13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spans="1:17" ht="13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spans="1:17" ht="13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spans="1:17" ht="13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spans="1:17" ht="13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spans="1:17" ht="13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spans="1:17" ht="13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spans="1:17" ht="13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spans="1:17" ht="13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spans="1:17" ht="13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spans="1:17" ht="13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spans="1:17" ht="13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spans="1:17" ht="13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spans="1:17" ht="13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spans="1:17" ht="13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spans="1:17" ht="13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spans="1:17" ht="13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spans="1:17" ht="13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spans="1:17" ht="13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spans="1:17" ht="13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spans="1:17" ht="13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spans="1:17" ht="13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  <row r="973" spans="1:17" ht="13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</row>
    <row r="974" spans="1:17" ht="13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</row>
    <row r="975" spans="1:17" ht="13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</row>
    <row r="976" spans="1:17" ht="13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</row>
    <row r="977" spans="1:17" ht="13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</row>
    <row r="978" spans="1:17" ht="13.2">
      <c r="A978" s="2"/>
      <c r="B978" s="2"/>
      <c r="C978" s="2"/>
      <c r="D978" s="2"/>
      <c r="E978" s="2"/>
      <c r="I978" s="2"/>
      <c r="J978" s="2"/>
      <c r="K978" s="2"/>
      <c r="L978" s="2"/>
      <c r="M978" s="2"/>
      <c r="N978" s="2"/>
      <c r="O978" s="2"/>
      <c r="P978" s="2"/>
      <c r="Q978" s="2"/>
    </row>
    <row r="979" spans="1:17" ht="13.2">
      <c r="A979" s="2"/>
      <c r="B979" s="2"/>
      <c r="C979" s="2"/>
      <c r="D979" s="2"/>
      <c r="E979" s="2"/>
      <c r="I979" s="2"/>
      <c r="J979" s="2"/>
      <c r="K979" s="2"/>
      <c r="L979" s="2"/>
      <c r="M979" s="2"/>
      <c r="N979" s="2"/>
      <c r="O979" s="2"/>
      <c r="P979" s="2"/>
      <c r="Q979" s="2"/>
    </row>
    <row r="980" spans="1:17" ht="13.2">
      <c r="A980" s="2"/>
      <c r="B980" s="2"/>
      <c r="C980" s="2"/>
      <c r="D980" s="2"/>
      <c r="E980" s="2"/>
      <c r="I980" s="2"/>
      <c r="J980" s="2"/>
      <c r="K980" s="2"/>
      <c r="L980" s="2"/>
      <c r="M980" s="2"/>
      <c r="N980" s="2"/>
      <c r="O980" s="2"/>
      <c r="P980" s="2"/>
      <c r="Q980" s="2"/>
    </row>
    <row r="981" spans="1:17" ht="13.2">
      <c r="A981" s="2"/>
      <c r="B981" s="2"/>
      <c r="C981" s="2"/>
      <c r="D981" s="2"/>
      <c r="E981" s="2"/>
      <c r="I981" s="2"/>
      <c r="J981" s="2"/>
      <c r="K981" s="2"/>
      <c r="L981" s="2"/>
      <c r="M981" s="2"/>
      <c r="N981" s="2"/>
      <c r="O981" s="2"/>
      <c r="P981" s="2"/>
      <c r="Q981" s="2"/>
    </row>
    <row r="982" spans="1:17" ht="13.2">
      <c r="A982" s="2"/>
      <c r="B982" s="2"/>
      <c r="C982" s="2"/>
      <c r="D982" s="2"/>
      <c r="E982" s="2"/>
      <c r="I982" s="2"/>
      <c r="J982" s="2"/>
      <c r="K982" s="2"/>
      <c r="L982" s="2"/>
      <c r="M982" s="2"/>
      <c r="N982" s="2"/>
      <c r="O982" s="2"/>
      <c r="P982" s="2"/>
      <c r="Q982" s="2"/>
    </row>
    <row r="983" spans="1:17" ht="13.2">
      <c r="A983" s="2"/>
      <c r="B983" s="2"/>
      <c r="C983" s="2"/>
      <c r="D983" s="2"/>
      <c r="E983" s="2"/>
      <c r="O983" s="2"/>
      <c r="P983" s="2"/>
      <c r="Q983" s="2"/>
    </row>
    <row r="984" spans="1:17" ht="13.2">
      <c r="A984" s="2"/>
      <c r="B984" s="2"/>
      <c r="C984" s="2"/>
      <c r="D984" s="2"/>
      <c r="E984" s="2"/>
      <c r="O984" s="2"/>
      <c r="P984" s="2"/>
      <c r="Q984" s="2"/>
    </row>
    <row r="985" spans="1:17" ht="13.2">
      <c r="A985" s="2"/>
      <c r="B985" s="2"/>
      <c r="C985" s="2"/>
      <c r="D985" s="2"/>
      <c r="E985" s="2"/>
      <c r="O985" s="2"/>
      <c r="P985" s="2"/>
      <c r="Q985" s="2"/>
    </row>
    <row r="986" spans="1:17" ht="13.2">
      <c r="A986" s="2"/>
      <c r="B986" s="2"/>
      <c r="C986" s="2"/>
      <c r="D986" s="2"/>
      <c r="E986" s="2"/>
      <c r="O986" s="2"/>
      <c r="P986" s="2"/>
      <c r="Q986" s="2"/>
    </row>
    <row r="987" spans="1:17" ht="13.2">
      <c r="A987" s="2"/>
      <c r="B987" s="2"/>
      <c r="C987" s="2"/>
      <c r="D987" s="2"/>
      <c r="E987" s="2"/>
      <c r="O987" s="2"/>
      <c r="P987" s="2"/>
      <c r="Q987" s="2"/>
    </row>
    <row r="988" spans="1:17" ht="13.2">
      <c r="A988" s="2"/>
      <c r="B988" s="2"/>
      <c r="C988" s="2"/>
      <c r="D988" s="2"/>
      <c r="E988" s="2"/>
      <c r="O988" s="2"/>
      <c r="P988" s="2"/>
      <c r="Q988" s="2"/>
    </row>
    <row r="989" spans="1:17" ht="13.2">
      <c r="A989" s="2"/>
      <c r="B989" s="2"/>
      <c r="C989" s="2"/>
      <c r="D989" s="2"/>
      <c r="E989" s="2"/>
      <c r="O989" s="2"/>
      <c r="P989" s="2"/>
      <c r="Q989" s="2"/>
    </row>
    <row r="990" spans="1:17" ht="13.2">
      <c r="A990" s="2"/>
      <c r="B990" s="2"/>
      <c r="C990" s="2"/>
      <c r="D990" s="2"/>
      <c r="E990" s="2"/>
      <c r="O990" s="2"/>
      <c r="P990" s="2"/>
      <c r="Q990" s="2"/>
    </row>
    <row r="991" spans="1:17" ht="13.2">
      <c r="A991" s="2"/>
      <c r="B991" s="2"/>
      <c r="C991" s="2"/>
      <c r="D991" s="2"/>
      <c r="E991" s="2"/>
      <c r="O991" s="2"/>
      <c r="P991" s="2"/>
      <c r="Q991" s="2"/>
    </row>
    <row r="992" spans="1:17" ht="13.2">
      <c r="A992" s="2"/>
      <c r="B992" s="2"/>
      <c r="C992" s="2"/>
      <c r="D992" s="2"/>
      <c r="E992" s="2"/>
      <c r="O992" s="2"/>
      <c r="P992" s="2"/>
      <c r="Q992" s="2"/>
    </row>
    <row r="993" spans="1:17" ht="13.2">
      <c r="A993" s="2"/>
      <c r="B993" s="2"/>
      <c r="C993" s="2"/>
      <c r="D993" s="2"/>
      <c r="E993" s="2"/>
      <c r="O993" s="2"/>
      <c r="P993" s="2"/>
      <c r="Q993" s="2"/>
    </row>
    <row r="994" spans="1:17" ht="13.2">
      <c r="A994" s="2"/>
      <c r="B994" s="2"/>
      <c r="C994" s="2"/>
      <c r="D994" s="2"/>
      <c r="E994" s="2"/>
      <c r="O994" s="2"/>
      <c r="P994" s="2"/>
      <c r="Q994" s="2"/>
    </row>
    <row r="995" spans="1:17" ht="13.2">
      <c r="A995" s="2"/>
      <c r="B995" s="2"/>
      <c r="C995" s="2"/>
      <c r="D995" s="2"/>
      <c r="E995" s="2"/>
      <c r="O995" s="2"/>
      <c r="P995" s="2"/>
      <c r="Q995" s="2"/>
    </row>
    <row r="996" spans="1:17" ht="13.2">
      <c r="A996" s="2"/>
      <c r="B996" s="2"/>
      <c r="C996" s="2"/>
      <c r="D996" s="2"/>
      <c r="E996" s="2"/>
      <c r="O996" s="2"/>
      <c r="P996" s="2"/>
      <c r="Q996" s="2"/>
    </row>
    <row r="997" spans="1:17" ht="13.2">
      <c r="A997" s="2"/>
      <c r="B997" s="2"/>
      <c r="C997" s="2"/>
      <c r="D997" s="2"/>
    </row>
  </sheetData>
  <hyperlinks>
    <hyperlink ref="B3" r:id="rId1" xr:uid="{00000000-0004-0000-0700-000000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0.59999389629810485"/>
    <outlinePr summaryBelow="0" summaryRight="0"/>
  </sheetPr>
  <dimension ref="A1:Z5"/>
  <sheetViews>
    <sheetView workbookViewId="0"/>
  </sheetViews>
  <sheetFormatPr defaultColWidth="12.5546875" defaultRowHeight="15.75" customHeight="1"/>
  <cols>
    <col min="5" max="5" width="21.33203125" customWidth="1"/>
  </cols>
  <sheetData>
    <row r="1" spans="1:26">
      <c r="A1" s="2"/>
      <c r="B1" s="2"/>
      <c r="C1" s="2"/>
      <c r="D1" s="2"/>
      <c r="E1" s="2" t="str">
        <f>VLOOKUP(E2,'res bld data'!$Z$3:$AA$11,2,FALSE)</f>
        <v>Single-Family Housing</v>
      </c>
      <c r="F1" s="2" t="str">
        <f>VLOOKUP(F2,'res bld data'!$Z$3:$AA$11,2,FALSE)</f>
        <v>Attached Condo Building</v>
      </c>
      <c r="G1" s="2" t="str">
        <f>VLOOKUP(G2,'res bld data'!$Z$3:$AA$11,2,FALSE)</f>
        <v>Multi-Family Apartment</v>
      </c>
      <c r="H1" s="2" t="str">
        <f>VLOOKUP(H2,'res bld data'!$Z$3:$AA$11,2,FALSE)</f>
        <v>Multi-Family Apartment</v>
      </c>
      <c r="I1" s="2" t="str">
        <f>VLOOKUP(I2,'res bld data'!$Z$3:$AA$11,2,FALSE)</f>
        <v>Multi-Family Apartment</v>
      </c>
      <c r="J1" s="2" t="str">
        <f>VLOOKUP(J2,'res bld data'!$Z$3:$AA$11,2,FALSE)</f>
        <v>Multi-Family Apartment</v>
      </c>
      <c r="K1" s="2" t="str">
        <f>VLOOKUP(K2,'res bld data'!$Z$3:$AA$11,2,FALSE)</f>
        <v>Multi-Family Apartment</v>
      </c>
      <c r="L1" s="2" t="str">
        <f>VLOOKUP(L2,'res bld data'!$Z$3:$AA$11,2,FALSE)</f>
        <v>Multi-Family Apartment</v>
      </c>
      <c r="M1" s="2" t="str">
        <f>VLOOKUP(M2,'res bld data'!$Z$3:$AA$11,2,FALSE)</f>
        <v>Mobile Home</v>
      </c>
      <c r="N1" s="2"/>
      <c r="O1" s="2"/>
      <c r="P1" s="2"/>
      <c r="Q1" s="2"/>
      <c r="R1" s="2"/>
      <c r="S1" s="2"/>
      <c r="T1" s="2"/>
      <c r="U1" s="2"/>
      <c r="V1" s="2"/>
      <c r="W1" s="2" t="s">
        <v>32</v>
      </c>
      <c r="X1" s="2"/>
      <c r="Y1" s="2"/>
      <c r="Z1" s="2"/>
    </row>
    <row r="2" spans="1:26">
      <c r="A2" s="2" t="s">
        <v>3</v>
      </c>
      <c r="B2" s="2" t="s">
        <v>12</v>
      </c>
      <c r="C2" s="2" t="s">
        <v>270</v>
      </c>
      <c r="D2" s="2" t="s">
        <v>271</v>
      </c>
      <c r="E2" s="2" t="s">
        <v>272</v>
      </c>
      <c r="F2" s="2" t="s">
        <v>273</v>
      </c>
      <c r="G2" s="2" t="s">
        <v>274</v>
      </c>
      <c r="H2" s="2" t="s">
        <v>275</v>
      </c>
      <c r="I2" s="2" t="s">
        <v>276</v>
      </c>
      <c r="J2" s="2" t="s">
        <v>277</v>
      </c>
      <c r="K2" s="2" t="s">
        <v>278</v>
      </c>
      <c r="L2" s="2" t="s">
        <v>279</v>
      </c>
      <c r="M2" s="2" t="s">
        <v>280</v>
      </c>
      <c r="N2" s="2" t="s">
        <v>281</v>
      </c>
      <c r="O2" s="2" t="s">
        <v>282</v>
      </c>
      <c r="P2" s="2" t="s">
        <v>283</v>
      </c>
      <c r="Q2" s="2" t="s">
        <v>284</v>
      </c>
      <c r="R2" s="2" t="s">
        <v>285</v>
      </c>
      <c r="S2" s="2" t="s">
        <v>286</v>
      </c>
      <c r="T2" s="2" t="s">
        <v>287</v>
      </c>
      <c r="U2" s="2" t="s">
        <v>288</v>
      </c>
      <c r="V2" s="2" t="s">
        <v>289</v>
      </c>
    </row>
    <row r="3" spans="1:26">
      <c r="A3" s="2" t="s">
        <v>5</v>
      </c>
      <c r="B3" s="2" t="s">
        <v>13</v>
      </c>
      <c r="C3" s="24">
        <v>167043</v>
      </c>
      <c r="D3" s="24">
        <v>71001</v>
      </c>
      <c r="E3" s="24">
        <v>51557</v>
      </c>
      <c r="F3" s="24">
        <v>3856</v>
      </c>
      <c r="G3" s="24">
        <v>1596</v>
      </c>
      <c r="H3" s="24">
        <v>2446</v>
      </c>
      <c r="I3" s="24">
        <v>3830</v>
      </c>
      <c r="J3" s="24">
        <v>3778</v>
      </c>
      <c r="K3" s="24">
        <v>1298</v>
      </c>
      <c r="L3" s="24">
        <v>1807</v>
      </c>
      <c r="M3" s="24">
        <v>817</v>
      </c>
      <c r="N3" s="24">
        <v>40861</v>
      </c>
      <c r="O3" s="24">
        <v>3047</v>
      </c>
      <c r="P3" s="24">
        <v>19610</v>
      </c>
      <c r="Q3" s="24">
        <v>1678</v>
      </c>
      <c r="R3" s="24">
        <v>0</v>
      </c>
      <c r="S3" s="24">
        <v>599</v>
      </c>
      <c r="T3" s="24">
        <v>13</v>
      </c>
      <c r="U3" s="24">
        <v>289</v>
      </c>
      <c r="V3" s="24">
        <v>182</v>
      </c>
    </row>
    <row r="4" spans="1:26">
      <c r="A4" s="2" t="s">
        <v>9</v>
      </c>
      <c r="B4" s="2" t="s">
        <v>13</v>
      </c>
      <c r="C4" s="24">
        <v>107899</v>
      </c>
      <c r="D4" s="24">
        <v>46510</v>
      </c>
      <c r="E4" s="24">
        <v>36903</v>
      </c>
      <c r="F4" s="24">
        <v>1763</v>
      </c>
      <c r="G4" s="24">
        <v>1415</v>
      </c>
      <c r="H4" s="24">
        <v>2438</v>
      </c>
      <c r="I4" s="24">
        <v>1473</v>
      </c>
      <c r="J4" s="24">
        <v>787</v>
      </c>
      <c r="K4" s="24">
        <v>416</v>
      </c>
      <c r="L4" s="24">
        <v>522</v>
      </c>
      <c r="M4" s="24">
        <v>793</v>
      </c>
      <c r="N4" s="24">
        <v>25542</v>
      </c>
      <c r="O4" s="24">
        <v>3430</v>
      </c>
      <c r="P4" s="24">
        <v>11549</v>
      </c>
      <c r="Q4" s="24">
        <v>1359</v>
      </c>
      <c r="R4" s="24">
        <v>0</v>
      </c>
      <c r="S4" s="24">
        <v>843</v>
      </c>
      <c r="T4" s="24">
        <v>0</v>
      </c>
      <c r="U4" s="24">
        <v>324</v>
      </c>
      <c r="V4" s="24">
        <v>232</v>
      </c>
    </row>
    <row r="5" spans="1:26">
      <c r="A5" s="2" t="s">
        <v>10</v>
      </c>
      <c r="B5" s="2" t="s">
        <v>13</v>
      </c>
      <c r="C5" s="24">
        <v>536136</v>
      </c>
      <c r="D5" s="24">
        <v>251995</v>
      </c>
      <c r="E5" s="24">
        <v>170526</v>
      </c>
      <c r="F5" s="24">
        <v>16893</v>
      </c>
      <c r="G5" s="24">
        <v>4946</v>
      </c>
      <c r="H5" s="24">
        <v>17049</v>
      </c>
      <c r="I5" s="24">
        <v>15761</v>
      </c>
      <c r="J5" s="24">
        <v>10435</v>
      </c>
      <c r="K5" s="24">
        <v>4428</v>
      </c>
      <c r="L5" s="24">
        <v>8328</v>
      </c>
      <c r="M5" s="24">
        <v>3530</v>
      </c>
      <c r="N5" s="24">
        <v>148550</v>
      </c>
      <c r="O5" s="24">
        <v>5611</v>
      </c>
      <c r="P5" s="24">
        <v>67066</v>
      </c>
      <c r="Q5" s="24">
        <v>2285</v>
      </c>
      <c r="R5" s="24">
        <v>33</v>
      </c>
      <c r="S5" s="24">
        <v>771</v>
      </c>
      <c r="T5" s="24">
        <v>34</v>
      </c>
      <c r="U5" s="24">
        <v>883</v>
      </c>
      <c r="V5" s="24">
        <v>966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0.59999389629810485"/>
    <outlinePr summaryBelow="0" summaryRight="0"/>
  </sheetPr>
  <dimension ref="A2:V66"/>
  <sheetViews>
    <sheetView workbookViewId="0"/>
  </sheetViews>
  <sheetFormatPr defaultColWidth="12.5546875" defaultRowHeight="15.75" customHeight="1"/>
  <sheetData>
    <row r="2" spans="1:22">
      <c r="B2" s="2" t="s">
        <v>290</v>
      </c>
      <c r="C2" s="2"/>
      <c r="D2" s="2"/>
      <c r="E2" s="2"/>
      <c r="F2" s="2"/>
      <c r="G2" s="2"/>
      <c r="H2" s="2"/>
      <c r="I2" s="2"/>
      <c r="J2" s="2"/>
      <c r="K2" s="2"/>
      <c r="L2" s="2"/>
      <c r="M2" s="2" t="s">
        <v>291</v>
      </c>
    </row>
    <row r="3" spans="1:22">
      <c r="B3" s="20" t="s">
        <v>292</v>
      </c>
      <c r="C3" s="20" t="s">
        <v>293</v>
      </c>
      <c r="D3" s="20" t="s">
        <v>294</v>
      </c>
      <c r="E3" s="20" t="s">
        <v>295</v>
      </c>
      <c r="F3" s="20" t="s">
        <v>296</v>
      </c>
      <c r="G3" s="20" t="s">
        <v>297</v>
      </c>
      <c r="H3" s="20" t="s">
        <v>298</v>
      </c>
      <c r="I3" s="20" t="s">
        <v>299</v>
      </c>
      <c r="J3" s="20" t="s">
        <v>300</v>
      </c>
      <c r="K3" s="20" t="s">
        <v>301</v>
      </c>
      <c r="M3" s="20" t="s">
        <v>292</v>
      </c>
      <c r="N3" s="20" t="s">
        <v>293</v>
      </c>
      <c r="O3" s="20" t="s">
        <v>294</v>
      </c>
      <c r="P3" s="20" t="s">
        <v>295</v>
      </c>
      <c r="Q3" s="20" t="s">
        <v>296</v>
      </c>
      <c r="R3" s="20" t="s">
        <v>297</v>
      </c>
      <c r="S3" s="20" t="s">
        <v>298</v>
      </c>
      <c r="T3" s="20" t="s">
        <v>299</v>
      </c>
      <c r="U3" s="20" t="s">
        <v>300</v>
      </c>
      <c r="V3" s="20" t="s">
        <v>301</v>
      </c>
    </row>
    <row r="4" spans="1:22">
      <c r="A4" s="108" t="str">
        <f t="shared" ref="A4:A24" si="0">B4&amp;C4</f>
        <v>Greeneauto</v>
      </c>
      <c r="B4" s="20" t="s">
        <v>5</v>
      </c>
      <c r="C4" s="20" t="s">
        <v>302</v>
      </c>
      <c r="D4" s="20">
        <v>29135</v>
      </c>
      <c r="E4" s="20">
        <v>90950.1</v>
      </c>
      <c r="F4" s="20">
        <v>286218</v>
      </c>
      <c r="G4" s="20">
        <v>660060.9</v>
      </c>
      <c r="H4" s="20">
        <v>1371228.9</v>
      </c>
      <c r="I4" s="20">
        <v>1256367.1000000001</v>
      </c>
      <c r="J4" s="20">
        <v>225347.6</v>
      </c>
      <c r="K4" s="20">
        <v>8507.7000000000007</v>
      </c>
      <c r="M4" s="20" t="s">
        <v>5</v>
      </c>
      <c r="N4" s="20" t="s">
        <v>302</v>
      </c>
      <c r="O4" s="20">
        <v>47761</v>
      </c>
      <c r="P4" s="20">
        <v>58728</v>
      </c>
      <c r="Q4" s="20">
        <v>96291</v>
      </c>
      <c r="R4" s="20">
        <v>112976</v>
      </c>
      <c r="S4" s="20">
        <v>119268</v>
      </c>
      <c r="T4" s="20">
        <v>59541</v>
      </c>
      <c r="U4" s="20">
        <v>5826</v>
      </c>
      <c r="V4" s="20">
        <v>54</v>
      </c>
    </row>
    <row r="5" spans="1:22">
      <c r="A5" s="108" t="str">
        <f t="shared" si="0"/>
        <v>Greeneauto_passenger</v>
      </c>
      <c r="B5" s="20" t="s">
        <v>5</v>
      </c>
      <c r="C5" s="20" t="s">
        <v>303</v>
      </c>
      <c r="D5" s="20">
        <v>4753.2</v>
      </c>
      <c r="E5" s="20">
        <v>18355.900000000001</v>
      </c>
      <c r="F5" s="20">
        <v>63163.199999999997</v>
      </c>
      <c r="G5" s="20">
        <v>133105.20000000001</v>
      </c>
      <c r="H5" s="20">
        <v>260124.4</v>
      </c>
      <c r="I5" s="20">
        <v>293653</v>
      </c>
      <c r="J5" s="20">
        <v>57822</v>
      </c>
      <c r="K5" s="20">
        <v>1509.6</v>
      </c>
      <c r="M5" s="20" t="s">
        <v>5</v>
      </c>
      <c r="N5" s="20" t="s">
        <v>303</v>
      </c>
      <c r="O5" s="20">
        <v>7469</v>
      </c>
      <c r="P5" s="20">
        <v>11690</v>
      </c>
      <c r="Q5" s="20">
        <v>21279</v>
      </c>
      <c r="R5" s="20">
        <v>22969</v>
      </c>
      <c r="S5" s="20">
        <v>22494</v>
      </c>
      <c r="T5" s="20">
        <v>13746</v>
      </c>
      <c r="U5" s="20">
        <v>1511</v>
      </c>
      <c r="V5" s="20">
        <v>9</v>
      </c>
    </row>
    <row r="6" spans="1:22">
      <c r="A6" s="108" t="str">
        <f t="shared" si="0"/>
        <v>Greenebiking</v>
      </c>
      <c r="B6" s="20" t="s">
        <v>5</v>
      </c>
      <c r="C6" s="20" t="s">
        <v>304</v>
      </c>
      <c r="D6" s="20">
        <v>136.9</v>
      </c>
      <c r="E6" s="20">
        <v>548.70000000000005</v>
      </c>
      <c r="F6" s="20">
        <v>2525.1</v>
      </c>
      <c r="G6" s="20">
        <v>3366.9</v>
      </c>
      <c r="H6" s="20">
        <v>273.60000000000002</v>
      </c>
      <c r="I6" s="20">
        <v>0</v>
      </c>
      <c r="J6" s="20">
        <v>0</v>
      </c>
      <c r="K6" s="20">
        <v>0</v>
      </c>
      <c r="M6" s="20" t="s">
        <v>5</v>
      </c>
      <c r="N6" s="20" t="s">
        <v>304</v>
      </c>
      <c r="O6" s="20">
        <v>327</v>
      </c>
      <c r="P6" s="20">
        <v>340</v>
      </c>
      <c r="Q6" s="20">
        <v>838</v>
      </c>
      <c r="R6" s="20">
        <v>620</v>
      </c>
      <c r="S6" s="20">
        <v>30</v>
      </c>
      <c r="T6" s="20">
        <v>0</v>
      </c>
      <c r="U6" s="20">
        <v>0</v>
      </c>
      <c r="V6" s="20">
        <v>0</v>
      </c>
    </row>
    <row r="7" spans="1:22">
      <c r="A7" s="108" t="str">
        <f t="shared" si="0"/>
        <v>Greeneon_demand_auto</v>
      </c>
      <c r="B7" s="20" t="s">
        <v>5</v>
      </c>
      <c r="C7" s="20" t="s">
        <v>305</v>
      </c>
      <c r="D7" s="20">
        <v>44.7</v>
      </c>
      <c r="E7" s="20">
        <v>207.2</v>
      </c>
      <c r="F7" s="20">
        <v>410.9</v>
      </c>
      <c r="G7" s="20">
        <v>1137.3</v>
      </c>
      <c r="H7" s="20">
        <v>2610.5</v>
      </c>
      <c r="I7" s="20">
        <v>2222.8000000000002</v>
      </c>
      <c r="J7" s="20">
        <v>453.5</v>
      </c>
      <c r="K7" s="20">
        <v>0</v>
      </c>
      <c r="M7" s="20" t="s">
        <v>5</v>
      </c>
      <c r="N7" s="20" t="s">
        <v>305</v>
      </c>
      <c r="O7" s="20">
        <v>61</v>
      </c>
      <c r="P7" s="20">
        <v>137</v>
      </c>
      <c r="Q7" s="20">
        <v>135</v>
      </c>
      <c r="R7" s="20">
        <v>196</v>
      </c>
      <c r="S7" s="20">
        <v>229</v>
      </c>
      <c r="T7" s="20">
        <v>107</v>
      </c>
      <c r="U7" s="20">
        <v>12</v>
      </c>
      <c r="V7" s="20">
        <v>0</v>
      </c>
    </row>
    <row r="8" spans="1:22">
      <c r="A8" s="108" t="str">
        <f t="shared" si="0"/>
        <v>Greeneprivate_auto</v>
      </c>
      <c r="B8" s="20" t="s">
        <v>5</v>
      </c>
      <c r="C8" s="20" t="s">
        <v>306</v>
      </c>
      <c r="D8" s="20">
        <v>24337.1</v>
      </c>
      <c r="E8" s="20">
        <v>72387</v>
      </c>
      <c r="F8" s="20">
        <v>222643.9</v>
      </c>
      <c r="G8" s="20">
        <v>525818.4</v>
      </c>
      <c r="H8" s="20">
        <v>1108494</v>
      </c>
      <c r="I8" s="20">
        <v>960491.3</v>
      </c>
      <c r="J8" s="20">
        <v>167072.1</v>
      </c>
      <c r="K8" s="20">
        <v>6998.1</v>
      </c>
      <c r="M8" s="20" t="s">
        <v>5</v>
      </c>
      <c r="N8" s="20" t="s">
        <v>306</v>
      </c>
      <c r="O8" s="20">
        <v>40231</v>
      </c>
      <c r="P8" s="20">
        <v>46901</v>
      </c>
      <c r="Q8" s="20">
        <v>74877</v>
      </c>
      <c r="R8" s="20">
        <v>89811</v>
      </c>
      <c r="S8" s="20">
        <v>96545</v>
      </c>
      <c r="T8" s="20">
        <v>45688</v>
      </c>
      <c r="U8" s="20">
        <v>4303</v>
      </c>
      <c r="V8" s="20">
        <v>45</v>
      </c>
    </row>
    <row r="9" spans="1:22">
      <c r="A9" s="108" t="str">
        <f t="shared" si="0"/>
        <v>Greenepublic_transit</v>
      </c>
      <c r="B9" s="20" t="s">
        <v>5</v>
      </c>
      <c r="C9" s="20" t="s">
        <v>307</v>
      </c>
      <c r="D9" s="20">
        <v>1.8</v>
      </c>
      <c r="E9" s="20">
        <v>150.1</v>
      </c>
      <c r="F9" s="20">
        <v>347.4</v>
      </c>
      <c r="G9" s="20">
        <v>1123.7</v>
      </c>
      <c r="H9" s="20">
        <v>4516.3</v>
      </c>
      <c r="I9" s="20">
        <v>6840.8</v>
      </c>
      <c r="J9" s="20">
        <v>0</v>
      </c>
      <c r="K9" s="20">
        <v>0</v>
      </c>
      <c r="M9" s="20" t="s">
        <v>5</v>
      </c>
      <c r="N9" s="20" t="s">
        <v>307</v>
      </c>
      <c r="O9" s="20">
        <v>2</v>
      </c>
      <c r="P9" s="20">
        <v>94</v>
      </c>
      <c r="Q9" s="20">
        <v>124</v>
      </c>
      <c r="R9" s="20">
        <v>176</v>
      </c>
      <c r="S9" s="20">
        <v>377</v>
      </c>
      <c r="T9" s="20">
        <v>350</v>
      </c>
      <c r="U9" s="20">
        <v>0</v>
      </c>
      <c r="V9" s="20">
        <v>0</v>
      </c>
    </row>
    <row r="10" spans="1:22">
      <c r="A10" s="108" t="str">
        <f t="shared" si="0"/>
        <v>Greenewalking</v>
      </c>
      <c r="B10" s="20" t="s">
        <v>5</v>
      </c>
      <c r="C10" s="20" t="s">
        <v>308</v>
      </c>
      <c r="D10" s="20">
        <v>18166.5</v>
      </c>
      <c r="E10" s="20">
        <v>17023.8</v>
      </c>
      <c r="F10" s="20">
        <v>4535.8999999999996</v>
      </c>
      <c r="G10" s="20">
        <v>216.6</v>
      </c>
      <c r="H10" s="20">
        <v>0</v>
      </c>
      <c r="I10" s="20">
        <v>0</v>
      </c>
      <c r="J10" s="20">
        <v>0</v>
      </c>
      <c r="K10" s="20">
        <v>0</v>
      </c>
      <c r="M10" s="20" t="s">
        <v>5</v>
      </c>
      <c r="N10" s="20" t="s">
        <v>308</v>
      </c>
      <c r="O10" s="20">
        <v>43733</v>
      </c>
      <c r="P10" s="20">
        <v>11890</v>
      </c>
      <c r="Q10" s="20">
        <v>1809</v>
      </c>
      <c r="R10" s="20">
        <v>47</v>
      </c>
      <c r="S10" s="20">
        <v>0</v>
      </c>
      <c r="T10" s="20">
        <v>0</v>
      </c>
      <c r="U10" s="20">
        <v>0</v>
      </c>
      <c r="V10" s="20">
        <v>0</v>
      </c>
    </row>
    <row r="11" spans="1:22">
      <c r="A11" s="108" t="str">
        <f t="shared" si="0"/>
        <v>Miamiauto</v>
      </c>
      <c r="B11" s="20" t="s">
        <v>9</v>
      </c>
      <c r="C11" s="20" t="s">
        <v>302</v>
      </c>
      <c r="D11" s="20">
        <v>22800.400000000001</v>
      </c>
      <c r="E11" s="20">
        <v>61506.9</v>
      </c>
      <c r="F11" s="20">
        <v>173053.9</v>
      </c>
      <c r="G11" s="20">
        <v>301892</v>
      </c>
      <c r="H11" s="20">
        <v>651914.30000000005</v>
      </c>
      <c r="I11" s="20">
        <v>699891.6</v>
      </c>
      <c r="J11" s="20">
        <v>269386</v>
      </c>
      <c r="K11" s="20">
        <v>3101.2</v>
      </c>
      <c r="M11" s="20" t="s">
        <v>9</v>
      </c>
      <c r="N11" s="20" t="s">
        <v>302</v>
      </c>
      <c r="O11" s="20">
        <v>37837</v>
      </c>
      <c r="P11" s="20">
        <v>40353</v>
      </c>
      <c r="Q11" s="20">
        <v>57861</v>
      </c>
      <c r="R11" s="20">
        <v>51475</v>
      </c>
      <c r="S11" s="20">
        <v>57492</v>
      </c>
      <c r="T11" s="20">
        <v>31594</v>
      </c>
      <c r="U11" s="20">
        <v>6814</v>
      </c>
      <c r="V11" s="20">
        <v>34</v>
      </c>
    </row>
    <row r="12" spans="1:22">
      <c r="A12" s="108" t="str">
        <f t="shared" si="0"/>
        <v>Miamiauto_passenger</v>
      </c>
      <c r="B12" s="20" t="s">
        <v>9</v>
      </c>
      <c r="C12" s="20" t="s">
        <v>303</v>
      </c>
      <c r="D12" s="20">
        <v>5278.1</v>
      </c>
      <c r="E12" s="20">
        <v>14274.7</v>
      </c>
      <c r="F12" s="20">
        <v>43043.9</v>
      </c>
      <c r="G12" s="20">
        <v>67987.899999999994</v>
      </c>
      <c r="H12" s="20">
        <v>125898.8</v>
      </c>
      <c r="I12" s="20">
        <v>175594.5</v>
      </c>
      <c r="J12" s="20">
        <v>64122</v>
      </c>
      <c r="K12" s="20">
        <v>856</v>
      </c>
      <c r="M12" s="20" t="s">
        <v>9</v>
      </c>
      <c r="N12" s="20" t="s">
        <v>303</v>
      </c>
      <c r="O12" s="20">
        <v>8444</v>
      </c>
      <c r="P12" s="20">
        <v>9459</v>
      </c>
      <c r="Q12" s="20">
        <v>14257</v>
      </c>
      <c r="R12" s="20">
        <v>11937</v>
      </c>
      <c r="S12" s="20">
        <v>10956</v>
      </c>
      <c r="T12" s="20">
        <v>7788</v>
      </c>
      <c r="U12" s="20">
        <v>1637</v>
      </c>
      <c r="V12" s="20">
        <v>9</v>
      </c>
    </row>
    <row r="13" spans="1:22">
      <c r="A13" s="108" t="str">
        <f t="shared" si="0"/>
        <v>Miamibiking</v>
      </c>
      <c r="B13" s="20" t="s">
        <v>9</v>
      </c>
      <c r="C13" s="20" t="s">
        <v>304</v>
      </c>
      <c r="D13" s="20">
        <v>273.60000000000002</v>
      </c>
      <c r="E13" s="20">
        <v>880.6</v>
      </c>
      <c r="F13" s="20">
        <v>2362.3000000000002</v>
      </c>
      <c r="G13" s="20">
        <v>1590.4</v>
      </c>
      <c r="H13" s="20">
        <v>98.7</v>
      </c>
      <c r="I13" s="20">
        <v>0</v>
      </c>
      <c r="J13" s="20">
        <v>0</v>
      </c>
      <c r="K13" s="20">
        <v>0</v>
      </c>
      <c r="M13" s="20" t="s">
        <v>9</v>
      </c>
      <c r="N13" s="20" t="s">
        <v>304</v>
      </c>
      <c r="O13" s="20">
        <v>475</v>
      </c>
      <c r="P13" s="20">
        <v>565</v>
      </c>
      <c r="Q13" s="20">
        <v>833</v>
      </c>
      <c r="R13" s="20">
        <v>298</v>
      </c>
      <c r="S13" s="20">
        <v>11</v>
      </c>
      <c r="T13" s="20">
        <v>0</v>
      </c>
      <c r="U13" s="20">
        <v>0</v>
      </c>
      <c r="V13" s="20">
        <v>0</v>
      </c>
    </row>
    <row r="14" spans="1:22">
      <c r="A14" s="108" t="str">
        <f t="shared" si="0"/>
        <v>Miamion_demand_auto</v>
      </c>
      <c r="B14" s="20" t="s">
        <v>9</v>
      </c>
      <c r="C14" s="20" t="s">
        <v>305</v>
      </c>
      <c r="D14" s="20">
        <v>23.5</v>
      </c>
      <c r="E14" s="20">
        <v>46.6</v>
      </c>
      <c r="F14" s="20">
        <v>173</v>
      </c>
      <c r="G14" s="20">
        <v>385.1</v>
      </c>
      <c r="H14" s="20">
        <v>930.6</v>
      </c>
      <c r="I14" s="20">
        <v>1066.8</v>
      </c>
      <c r="J14" s="20">
        <v>384.7</v>
      </c>
      <c r="K14" s="20">
        <v>0</v>
      </c>
      <c r="M14" s="20" t="s">
        <v>9</v>
      </c>
      <c r="N14" s="20" t="s">
        <v>305</v>
      </c>
      <c r="O14" s="20">
        <v>31</v>
      </c>
      <c r="P14" s="20">
        <v>30</v>
      </c>
      <c r="Q14" s="20">
        <v>56</v>
      </c>
      <c r="R14" s="20">
        <v>69</v>
      </c>
      <c r="S14" s="20">
        <v>84</v>
      </c>
      <c r="T14" s="20">
        <v>49</v>
      </c>
      <c r="U14" s="20">
        <v>10</v>
      </c>
      <c r="V14" s="20">
        <v>0</v>
      </c>
    </row>
    <row r="15" spans="1:22">
      <c r="A15" s="108" t="str">
        <f t="shared" si="0"/>
        <v>Miamiprivate_auto</v>
      </c>
      <c r="B15" s="20" t="s">
        <v>9</v>
      </c>
      <c r="C15" s="20" t="s">
        <v>306</v>
      </c>
      <c r="D15" s="20">
        <v>17498.8</v>
      </c>
      <c r="E15" s="20">
        <v>47185.599999999999</v>
      </c>
      <c r="F15" s="20">
        <v>129837</v>
      </c>
      <c r="G15" s="20">
        <v>233519</v>
      </c>
      <c r="H15" s="20">
        <v>525084.9</v>
      </c>
      <c r="I15" s="20">
        <v>523230.3</v>
      </c>
      <c r="J15" s="20">
        <v>204879.3</v>
      </c>
      <c r="K15" s="20">
        <v>2245.1999999999998</v>
      </c>
      <c r="M15" s="20" t="s">
        <v>9</v>
      </c>
      <c r="N15" s="20" t="s">
        <v>306</v>
      </c>
      <c r="O15" s="20">
        <v>29362</v>
      </c>
      <c r="P15" s="20">
        <v>30864</v>
      </c>
      <c r="Q15" s="20">
        <v>43548</v>
      </c>
      <c r="R15" s="20">
        <v>39469</v>
      </c>
      <c r="S15" s="20">
        <v>46452</v>
      </c>
      <c r="T15" s="20">
        <v>23757</v>
      </c>
      <c r="U15" s="20">
        <v>5167</v>
      </c>
      <c r="V15" s="20">
        <v>25</v>
      </c>
    </row>
    <row r="16" spans="1:22">
      <c r="A16" s="108" t="str">
        <f t="shared" si="0"/>
        <v>Miamipublic_transit</v>
      </c>
      <c r="B16" s="20" t="s">
        <v>9</v>
      </c>
      <c r="C16" s="20" t="s">
        <v>307</v>
      </c>
      <c r="D16" s="20">
        <v>0</v>
      </c>
      <c r="E16" s="20">
        <v>3.4</v>
      </c>
      <c r="F16" s="20">
        <v>3.8</v>
      </c>
      <c r="G16" s="20">
        <v>10</v>
      </c>
      <c r="H16" s="20">
        <v>23.1</v>
      </c>
      <c r="I16" s="20">
        <v>62.099999999999902</v>
      </c>
      <c r="J16" s="20">
        <v>0</v>
      </c>
      <c r="K16" s="20">
        <v>0</v>
      </c>
      <c r="M16" s="20" t="s">
        <v>9</v>
      </c>
      <c r="N16" s="20" t="s">
        <v>307</v>
      </c>
      <c r="O16" s="20">
        <v>0</v>
      </c>
      <c r="P16" s="20">
        <v>2</v>
      </c>
      <c r="Q16" s="20">
        <v>1</v>
      </c>
      <c r="R16" s="20">
        <v>2</v>
      </c>
      <c r="S16" s="20">
        <v>2</v>
      </c>
      <c r="T16" s="20">
        <v>3</v>
      </c>
      <c r="U16" s="20">
        <v>0</v>
      </c>
      <c r="V16" s="20">
        <v>0</v>
      </c>
    </row>
    <row r="17" spans="1:22">
      <c r="A17" s="108" t="str">
        <f t="shared" si="0"/>
        <v>Miamiwalking</v>
      </c>
      <c r="B17" s="20" t="s">
        <v>9</v>
      </c>
      <c r="C17" s="20" t="s">
        <v>308</v>
      </c>
      <c r="D17" s="20">
        <v>7729.4</v>
      </c>
      <c r="E17" s="20">
        <v>5867.8</v>
      </c>
      <c r="F17" s="20">
        <v>1588.8</v>
      </c>
      <c r="G17" s="20">
        <v>83.4</v>
      </c>
      <c r="H17" s="20">
        <v>0</v>
      </c>
      <c r="I17" s="20">
        <v>0</v>
      </c>
      <c r="J17" s="20">
        <v>0</v>
      </c>
      <c r="K17" s="20">
        <v>0</v>
      </c>
      <c r="M17" s="20" t="s">
        <v>9</v>
      </c>
      <c r="N17" s="20" t="s">
        <v>308</v>
      </c>
      <c r="O17" s="20">
        <v>21625</v>
      </c>
      <c r="P17" s="20">
        <v>4200</v>
      </c>
      <c r="Q17" s="20">
        <v>609</v>
      </c>
      <c r="R17" s="20">
        <v>18</v>
      </c>
      <c r="S17" s="20">
        <v>0</v>
      </c>
      <c r="T17" s="20">
        <v>0</v>
      </c>
      <c r="U17" s="20">
        <v>0</v>
      </c>
      <c r="V17" s="20">
        <v>0</v>
      </c>
    </row>
    <row r="18" spans="1:22">
      <c r="A18" s="108" t="str">
        <f t="shared" si="0"/>
        <v>Montgomeryauto</v>
      </c>
      <c r="B18" s="20" t="s">
        <v>10</v>
      </c>
      <c r="C18" s="20" t="s">
        <v>302</v>
      </c>
      <c r="D18" s="20">
        <v>84184.8</v>
      </c>
      <c r="E18" s="20">
        <v>266443.09999999998</v>
      </c>
      <c r="F18" s="20">
        <v>921753.2</v>
      </c>
      <c r="G18" s="20">
        <v>2178328.7999999998</v>
      </c>
      <c r="H18" s="20">
        <v>3728952.1999999899</v>
      </c>
      <c r="I18" s="20">
        <v>2833073.9</v>
      </c>
      <c r="J18" s="20">
        <v>346635.9</v>
      </c>
      <c r="K18" s="20">
        <v>9017.4</v>
      </c>
      <c r="M18" s="20" t="s">
        <v>10</v>
      </c>
      <c r="N18" s="20" t="s">
        <v>302</v>
      </c>
      <c r="O18" s="20">
        <v>134607</v>
      </c>
      <c r="P18" s="20">
        <v>171624</v>
      </c>
      <c r="Q18" s="20">
        <v>307754</v>
      </c>
      <c r="R18" s="20">
        <v>373516</v>
      </c>
      <c r="S18" s="20">
        <v>327901</v>
      </c>
      <c r="T18" s="20">
        <v>135490</v>
      </c>
      <c r="U18" s="20">
        <v>8949</v>
      </c>
      <c r="V18" s="20">
        <v>66</v>
      </c>
    </row>
    <row r="19" spans="1:22">
      <c r="A19" s="108" t="str">
        <f t="shared" si="0"/>
        <v>Montgomeryauto_passenger</v>
      </c>
      <c r="B19" s="20" t="s">
        <v>10</v>
      </c>
      <c r="C19" s="20" t="s">
        <v>303</v>
      </c>
      <c r="D19" s="20">
        <v>14861.4</v>
      </c>
      <c r="E19" s="20">
        <v>53954.2</v>
      </c>
      <c r="F19" s="20">
        <v>219589.4</v>
      </c>
      <c r="G19" s="20">
        <v>524587.30000000005</v>
      </c>
      <c r="H19" s="20">
        <v>1032208</v>
      </c>
      <c r="I19" s="20">
        <v>790736.3</v>
      </c>
      <c r="J19" s="20">
        <v>87148</v>
      </c>
      <c r="K19" s="20">
        <v>2601</v>
      </c>
      <c r="M19" s="20" t="s">
        <v>10</v>
      </c>
      <c r="N19" s="20" t="s">
        <v>303</v>
      </c>
      <c r="O19" s="20">
        <v>22784</v>
      </c>
      <c r="P19" s="20">
        <v>34149</v>
      </c>
      <c r="Q19" s="20">
        <v>73318</v>
      </c>
      <c r="R19" s="20">
        <v>89656</v>
      </c>
      <c r="S19" s="20">
        <v>90036</v>
      </c>
      <c r="T19" s="20">
        <v>37695</v>
      </c>
      <c r="U19" s="20">
        <v>2274</v>
      </c>
      <c r="V19" s="20">
        <v>20</v>
      </c>
    </row>
    <row r="20" spans="1:22">
      <c r="A20" s="108" t="str">
        <f t="shared" si="0"/>
        <v>Montgomerybiking</v>
      </c>
      <c r="B20" s="20" t="s">
        <v>10</v>
      </c>
      <c r="C20" s="20" t="s">
        <v>304</v>
      </c>
      <c r="D20" s="20">
        <v>391.8</v>
      </c>
      <c r="E20" s="20">
        <v>2107.9</v>
      </c>
      <c r="F20" s="20">
        <v>12321.3</v>
      </c>
      <c r="G20" s="20">
        <v>16903.5</v>
      </c>
      <c r="H20" s="20">
        <v>1654.1</v>
      </c>
      <c r="I20" s="20">
        <v>0</v>
      </c>
      <c r="J20" s="20">
        <v>0</v>
      </c>
      <c r="K20" s="20">
        <v>0</v>
      </c>
      <c r="M20" s="20" t="s">
        <v>10</v>
      </c>
      <c r="N20" s="20" t="s">
        <v>304</v>
      </c>
      <c r="O20" s="20">
        <v>880</v>
      </c>
      <c r="P20" s="20">
        <v>1245</v>
      </c>
      <c r="Q20" s="20">
        <v>4113</v>
      </c>
      <c r="R20" s="20">
        <v>3118</v>
      </c>
      <c r="S20" s="20">
        <v>181</v>
      </c>
      <c r="T20" s="20">
        <v>0</v>
      </c>
      <c r="U20" s="20">
        <v>0</v>
      </c>
      <c r="V20" s="20">
        <v>0</v>
      </c>
    </row>
    <row r="21" spans="1:22">
      <c r="A21" s="108" t="str">
        <f t="shared" si="0"/>
        <v>Montgomeryon_demand_auto</v>
      </c>
      <c r="B21" s="20" t="s">
        <v>10</v>
      </c>
      <c r="C21" s="20" t="s">
        <v>305</v>
      </c>
      <c r="D21" s="20">
        <v>224.6</v>
      </c>
      <c r="E21" s="20">
        <v>669.2</v>
      </c>
      <c r="F21" s="20">
        <v>2766.3</v>
      </c>
      <c r="G21" s="20">
        <v>6897.7</v>
      </c>
      <c r="H21" s="20">
        <v>10940.9</v>
      </c>
      <c r="I21" s="20">
        <v>6412.9</v>
      </c>
      <c r="J21" s="20">
        <v>924.3</v>
      </c>
      <c r="K21" s="20">
        <v>0</v>
      </c>
      <c r="M21" s="20" t="s">
        <v>10</v>
      </c>
      <c r="N21" s="20" t="s">
        <v>305</v>
      </c>
      <c r="O21" s="20">
        <v>309</v>
      </c>
      <c r="P21" s="20">
        <v>432</v>
      </c>
      <c r="Q21" s="20">
        <v>914</v>
      </c>
      <c r="R21" s="20">
        <v>1174</v>
      </c>
      <c r="S21" s="20">
        <v>969</v>
      </c>
      <c r="T21" s="20">
        <v>313</v>
      </c>
      <c r="U21" s="20">
        <v>23</v>
      </c>
      <c r="V21" s="20">
        <v>0</v>
      </c>
    </row>
    <row r="22" spans="1:22">
      <c r="A22" s="108" t="str">
        <f t="shared" si="0"/>
        <v>Montgomeryprivate_auto</v>
      </c>
      <c r="B22" s="20" t="s">
        <v>10</v>
      </c>
      <c r="C22" s="20" t="s">
        <v>306</v>
      </c>
      <c r="D22" s="20">
        <v>69098.8</v>
      </c>
      <c r="E22" s="20">
        <v>211819.7</v>
      </c>
      <c r="F22" s="20">
        <v>699397.5</v>
      </c>
      <c r="G22" s="20">
        <v>1646843.8</v>
      </c>
      <c r="H22" s="20">
        <v>2685803.3</v>
      </c>
      <c r="I22" s="20">
        <v>2035924.7</v>
      </c>
      <c r="J22" s="20">
        <v>258563.6</v>
      </c>
      <c r="K22" s="20">
        <v>6416.4</v>
      </c>
      <c r="M22" s="20" t="s">
        <v>10</v>
      </c>
      <c r="N22" s="20" t="s">
        <v>306</v>
      </c>
      <c r="O22" s="20">
        <v>111514</v>
      </c>
      <c r="P22" s="20">
        <v>137043</v>
      </c>
      <c r="Q22" s="20">
        <v>233522</v>
      </c>
      <c r="R22" s="20">
        <v>282686</v>
      </c>
      <c r="S22" s="20">
        <v>236896</v>
      </c>
      <c r="T22" s="20">
        <v>97482</v>
      </c>
      <c r="U22" s="20">
        <v>6652</v>
      </c>
      <c r="V22" s="20">
        <v>46</v>
      </c>
    </row>
    <row r="23" spans="1:22">
      <c r="A23" s="108" t="str">
        <f t="shared" si="0"/>
        <v>Montgomerypublic_transit</v>
      </c>
      <c r="B23" s="20" t="s">
        <v>10</v>
      </c>
      <c r="C23" s="20" t="s">
        <v>307</v>
      </c>
      <c r="D23" s="20">
        <v>153.69999999999999</v>
      </c>
      <c r="E23" s="20">
        <v>1650.4</v>
      </c>
      <c r="F23" s="20">
        <v>6215.7</v>
      </c>
      <c r="G23" s="20">
        <v>15599.8</v>
      </c>
      <c r="H23" s="20">
        <v>31270.9</v>
      </c>
      <c r="I23" s="20">
        <v>24183.9</v>
      </c>
      <c r="J23" s="20">
        <v>323.5</v>
      </c>
      <c r="K23" s="20">
        <v>0</v>
      </c>
      <c r="M23" s="20" t="s">
        <v>10</v>
      </c>
      <c r="N23" s="20" t="s">
        <v>307</v>
      </c>
      <c r="O23" s="20">
        <v>195</v>
      </c>
      <c r="P23" s="20">
        <v>1027</v>
      </c>
      <c r="Q23" s="20">
        <v>2080</v>
      </c>
      <c r="R23" s="20">
        <v>2614</v>
      </c>
      <c r="S23" s="20">
        <v>2754</v>
      </c>
      <c r="T23" s="20">
        <v>1173</v>
      </c>
      <c r="U23" s="20">
        <v>9</v>
      </c>
      <c r="V23" s="20">
        <v>0</v>
      </c>
    </row>
    <row r="24" spans="1:22">
      <c r="A24" s="108" t="str">
        <f t="shared" si="0"/>
        <v>Montgomerywalking</v>
      </c>
      <c r="B24" s="20" t="s">
        <v>10</v>
      </c>
      <c r="C24" s="20" t="s">
        <v>308</v>
      </c>
      <c r="D24" s="20">
        <v>55164.7</v>
      </c>
      <c r="E24" s="20">
        <v>47951.6</v>
      </c>
      <c r="F24" s="20">
        <v>11469.4</v>
      </c>
      <c r="G24" s="20">
        <v>485.3</v>
      </c>
      <c r="H24" s="20">
        <v>0</v>
      </c>
      <c r="I24" s="20">
        <v>0</v>
      </c>
      <c r="J24" s="20">
        <v>0</v>
      </c>
      <c r="K24" s="20">
        <v>0</v>
      </c>
      <c r="M24" s="20" t="s">
        <v>10</v>
      </c>
      <c r="N24" s="20" t="s">
        <v>308</v>
      </c>
      <c r="O24" s="20">
        <v>133468</v>
      </c>
      <c r="P24" s="20">
        <v>34027</v>
      </c>
      <c r="Q24" s="20">
        <v>4572</v>
      </c>
      <c r="R24" s="20">
        <v>111</v>
      </c>
      <c r="S24" s="20">
        <v>0</v>
      </c>
      <c r="T24" s="20">
        <v>0</v>
      </c>
      <c r="U24" s="20">
        <v>0</v>
      </c>
      <c r="V24" s="20">
        <v>0</v>
      </c>
    </row>
    <row r="25" spans="1:22">
      <c r="F25" s="20"/>
    </row>
    <row r="26" spans="1:22">
      <c r="F26" s="20" t="s">
        <v>309</v>
      </c>
      <c r="G26" s="20" t="s">
        <v>310</v>
      </c>
    </row>
    <row r="27" spans="1:22">
      <c r="D27" s="20" t="s">
        <v>311</v>
      </c>
      <c r="E27" s="20" t="s">
        <v>312</v>
      </c>
      <c r="F27" s="20" t="s">
        <v>32</v>
      </c>
      <c r="G27" s="20" t="s">
        <v>32</v>
      </c>
    </row>
    <row r="28" spans="1:22">
      <c r="B28" s="20" t="s">
        <v>5</v>
      </c>
      <c r="C28" s="20" t="s">
        <v>302</v>
      </c>
      <c r="D28" s="21">
        <f t="shared" ref="D28:D39" ca="1" si="1">SUM(OFFSET($D$4:$K$4,MATCH(B28&amp;C28,$A$4:$A$24,0)-1,0))</f>
        <v>3927815.3000000003</v>
      </c>
      <c r="E28" s="21">
        <f t="shared" ref="E28:E39" ca="1" si="2">SUM(OFFSET($N$4:$V$4,MATCH(B28&amp;C28,$A$4:$A$24,0)-1,0))</f>
        <v>500445</v>
      </c>
      <c r="F28" s="75">
        <f t="shared" ref="F28:F39" ca="1" si="3">D28/E28</f>
        <v>7.8486453056779473</v>
      </c>
      <c r="G28" s="55">
        <f t="shared" ref="G28:G39" ca="1" si="4">SUMIFS($D$28:$D$39,$B$28:$B$39,$B28,$C$28:$C$39,$C28)/SUMIFS($D$28:$D$39,$B$28:$B$39,$B28)</f>
        <v>0.98500996617154213</v>
      </c>
      <c r="H28" s="55"/>
      <c r="I28" s="55"/>
      <c r="J28" s="55"/>
      <c r="K28" s="55"/>
      <c r="L28" s="55"/>
      <c r="M28" s="55"/>
      <c r="N28" s="55"/>
    </row>
    <row r="29" spans="1:22">
      <c r="B29" s="20" t="s">
        <v>5</v>
      </c>
      <c r="C29" s="20" t="s">
        <v>304</v>
      </c>
      <c r="D29" s="21">
        <f t="shared" ca="1" si="1"/>
        <v>6851.2000000000007</v>
      </c>
      <c r="E29" s="21">
        <f t="shared" ca="1" si="2"/>
        <v>2155</v>
      </c>
      <c r="F29" s="75">
        <f t="shared" ca="1" si="3"/>
        <v>3.1792111368909515</v>
      </c>
      <c r="G29" s="55">
        <f t="shared" ca="1" si="4"/>
        <v>1.7181307583975423E-3</v>
      </c>
      <c r="H29" s="55"/>
      <c r="I29" s="55"/>
      <c r="J29" s="55"/>
      <c r="K29" s="55"/>
      <c r="L29" s="55"/>
      <c r="M29" s="55"/>
      <c r="N29" s="55"/>
    </row>
    <row r="30" spans="1:22">
      <c r="B30" s="20" t="s">
        <v>5</v>
      </c>
      <c r="C30" s="20" t="s">
        <v>307</v>
      </c>
      <c r="D30" s="21">
        <f t="shared" ca="1" si="1"/>
        <v>12980.1</v>
      </c>
      <c r="E30" s="21">
        <f t="shared" ca="1" si="2"/>
        <v>1123</v>
      </c>
      <c r="F30" s="75">
        <f t="shared" ca="1" si="3"/>
        <v>11.558414959928763</v>
      </c>
      <c r="G30" s="55">
        <f t="shared" ca="1" si="4"/>
        <v>3.2551245120673658E-3</v>
      </c>
      <c r="H30" s="55"/>
      <c r="I30" s="55"/>
      <c r="J30" s="55"/>
      <c r="K30" s="55"/>
      <c r="L30" s="55"/>
      <c r="M30" s="55"/>
      <c r="N30" s="55"/>
    </row>
    <row r="31" spans="1:22">
      <c r="B31" s="20" t="s">
        <v>5</v>
      </c>
      <c r="C31" s="20" t="s">
        <v>308</v>
      </c>
      <c r="D31" s="21">
        <f t="shared" ca="1" si="1"/>
        <v>39942.800000000003</v>
      </c>
      <c r="E31" s="21">
        <f t="shared" ca="1" si="2"/>
        <v>57479</v>
      </c>
      <c r="F31" s="75">
        <f t="shared" ca="1" si="3"/>
        <v>0.69491118495450521</v>
      </c>
      <c r="G31" s="55">
        <f t="shared" ca="1" si="4"/>
        <v>1.0016778557992956E-2</v>
      </c>
      <c r="H31" s="55"/>
      <c r="I31" s="55"/>
      <c r="J31" s="55"/>
      <c r="K31" s="55"/>
      <c r="L31" s="55"/>
      <c r="M31" s="55"/>
      <c r="N31" s="55"/>
    </row>
    <row r="32" spans="1:22">
      <c r="B32" s="20" t="s">
        <v>9</v>
      </c>
      <c r="C32" s="20" t="s">
        <v>302</v>
      </c>
      <c r="D32" s="21">
        <f t="shared" ca="1" si="1"/>
        <v>2183546.3000000003</v>
      </c>
      <c r="E32" s="21">
        <f t="shared" ca="1" si="2"/>
        <v>283460</v>
      </c>
      <c r="F32" s="75">
        <f t="shared" ca="1" si="3"/>
        <v>7.7031902208424476</v>
      </c>
      <c r="G32" s="55">
        <f t="shared" ca="1" si="4"/>
        <v>0.99066413559275279</v>
      </c>
      <c r="H32" s="55"/>
      <c r="I32" s="55"/>
      <c r="J32" s="55"/>
      <c r="K32" s="55"/>
      <c r="L32" s="55"/>
      <c r="M32" s="55"/>
      <c r="N32" s="55"/>
    </row>
    <row r="33" spans="2:22">
      <c r="B33" s="20" t="s">
        <v>9</v>
      </c>
      <c r="C33" s="20" t="s">
        <v>304</v>
      </c>
      <c r="D33" s="21">
        <f t="shared" ca="1" si="1"/>
        <v>5205.5999999999995</v>
      </c>
      <c r="E33" s="21">
        <f t="shared" ca="1" si="2"/>
        <v>2182</v>
      </c>
      <c r="F33" s="75">
        <f t="shared" ca="1" si="3"/>
        <v>2.3857011915673692</v>
      </c>
      <c r="G33" s="55">
        <f t="shared" ca="1" si="4"/>
        <v>2.3617549232831164E-3</v>
      </c>
      <c r="H33" s="55"/>
      <c r="I33" s="55"/>
      <c r="J33" s="55"/>
      <c r="K33" s="55"/>
      <c r="L33" s="55"/>
      <c r="M33" s="55"/>
      <c r="N33" s="55"/>
    </row>
    <row r="34" spans="2:22">
      <c r="B34" s="20" t="s">
        <v>9</v>
      </c>
      <c r="C34" s="20" t="s">
        <v>307</v>
      </c>
      <c r="D34" s="21">
        <f t="shared" ca="1" si="1"/>
        <v>102.39999999999989</v>
      </c>
      <c r="E34" s="21">
        <f t="shared" ca="1" si="2"/>
        <v>10</v>
      </c>
      <c r="F34" s="75">
        <f t="shared" ca="1" si="3"/>
        <v>10.23999999999999</v>
      </c>
      <c r="G34" s="55">
        <f t="shared" ca="1" si="4"/>
        <v>4.6458372549598682E-5</v>
      </c>
      <c r="H34" s="55"/>
      <c r="I34" s="55"/>
      <c r="J34" s="55"/>
      <c r="K34" s="55"/>
      <c r="L34" s="55"/>
      <c r="M34" s="55"/>
      <c r="N34" s="55"/>
    </row>
    <row r="35" spans="2:22">
      <c r="B35" s="20" t="s">
        <v>9</v>
      </c>
      <c r="C35" s="20" t="s">
        <v>308</v>
      </c>
      <c r="D35" s="21">
        <f t="shared" ca="1" si="1"/>
        <v>15269.4</v>
      </c>
      <c r="E35" s="21">
        <f t="shared" ca="1" si="2"/>
        <v>26452</v>
      </c>
      <c r="F35" s="75">
        <f t="shared" ca="1" si="3"/>
        <v>0.57724935732647809</v>
      </c>
      <c r="G35" s="55">
        <f t="shared" ca="1" si="4"/>
        <v>6.9276511114144809E-3</v>
      </c>
      <c r="H35" s="55"/>
      <c r="I35" s="55"/>
      <c r="J35" s="55"/>
      <c r="K35" s="55"/>
      <c r="L35" s="55"/>
      <c r="M35" s="55"/>
      <c r="N35" s="55"/>
    </row>
    <row r="36" spans="2:22">
      <c r="B36" s="20" t="s">
        <v>10</v>
      </c>
      <c r="C36" s="20" t="s">
        <v>302</v>
      </c>
      <c r="D36" s="21">
        <f t="shared" ca="1" si="1"/>
        <v>10368389.29999999</v>
      </c>
      <c r="E36" s="21">
        <f t="shared" ca="1" si="2"/>
        <v>1459907</v>
      </c>
      <c r="F36" s="75">
        <f t="shared" ca="1" si="3"/>
        <v>7.1020889001833609</v>
      </c>
      <c r="G36" s="55">
        <f t="shared" ca="1" si="4"/>
        <v>0.97849731897271297</v>
      </c>
      <c r="H36" s="55"/>
      <c r="I36" s="55"/>
      <c r="J36" s="55"/>
      <c r="K36" s="55"/>
      <c r="L36" s="55"/>
      <c r="M36" s="55"/>
      <c r="N36" s="55"/>
    </row>
    <row r="37" spans="2:22">
      <c r="B37" s="20" t="s">
        <v>10</v>
      </c>
      <c r="C37" s="20" t="s">
        <v>304</v>
      </c>
      <c r="D37" s="21">
        <f t="shared" ca="1" si="1"/>
        <v>33378.6</v>
      </c>
      <c r="E37" s="21">
        <f t="shared" ca="1" si="2"/>
        <v>9537</v>
      </c>
      <c r="F37" s="75">
        <f t="shared" ca="1" si="3"/>
        <v>3.4999056307014782</v>
      </c>
      <c r="G37" s="55">
        <f t="shared" ca="1" si="4"/>
        <v>3.1500428529494576E-3</v>
      </c>
      <c r="H37" s="55"/>
      <c r="I37" s="55"/>
      <c r="J37" s="55"/>
      <c r="K37" s="55"/>
      <c r="L37" s="55"/>
      <c r="M37" s="55"/>
      <c r="N37" s="55"/>
    </row>
    <row r="38" spans="2:22">
      <c r="B38" s="20" t="s">
        <v>10</v>
      </c>
      <c r="C38" s="20" t="s">
        <v>307</v>
      </c>
      <c r="D38" s="21">
        <f t="shared" ca="1" si="1"/>
        <v>79397.899999999994</v>
      </c>
      <c r="E38" s="21">
        <f t="shared" ca="1" si="2"/>
        <v>9852</v>
      </c>
      <c r="F38" s="75">
        <f t="shared" ca="1" si="3"/>
        <v>8.0590641494112862</v>
      </c>
      <c r="G38" s="55">
        <f t="shared" ca="1" si="4"/>
        <v>7.4930280908784589E-3</v>
      </c>
      <c r="H38" s="55"/>
      <c r="I38" s="55"/>
      <c r="J38" s="55"/>
      <c r="K38" s="55"/>
      <c r="L38" s="55"/>
      <c r="M38" s="55"/>
      <c r="N38" s="55"/>
    </row>
    <row r="39" spans="2:22">
      <c r="B39" s="20" t="s">
        <v>10</v>
      </c>
      <c r="C39" s="20" t="s">
        <v>308</v>
      </c>
      <c r="D39" s="21">
        <f t="shared" ca="1" si="1"/>
        <v>115070.99999999999</v>
      </c>
      <c r="E39" s="21">
        <f t="shared" ca="1" si="2"/>
        <v>172178</v>
      </c>
      <c r="F39" s="75">
        <f t="shared" ca="1" si="3"/>
        <v>0.66832580236731742</v>
      </c>
      <c r="G39" s="55">
        <f t="shared" ca="1" si="4"/>
        <v>1.0859610083459073E-2</v>
      </c>
      <c r="H39" s="55"/>
      <c r="I39" s="55"/>
      <c r="J39" s="55"/>
      <c r="K39" s="55"/>
      <c r="L39" s="55"/>
      <c r="M39" s="55"/>
      <c r="N39" s="55"/>
    </row>
    <row r="41" spans="2:22">
      <c r="B41" s="2" t="s">
        <v>313</v>
      </c>
    </row>
    <row r="42" spans="2:22">
      <c r="B42" s="20" t="s">
        <v>292</v>
      </c>
      <c r="C42" s="20" t="s">
        <v>293</v>
      </c>
      <c r="D42" s="20" t="s">
        <v>294</v>
      </c>
      <c r="E42" s="20" t="s">
        <v>295</v>
      </c>
      <c r="F42" s="20" t="s">
        <v>296</v>
      </c>
      <c r="G42" s="20" t="s">
        <v>297</v>
      </c>
      <c r="H42" s="20" t="s">
        <v>298</v>
      </c>
      <c r="I42" s="20" t="s">
        <v>299</v>
      </c>
      <c r="J42" s="20" t="s">
        <v>300</v>
      </c>
      <c r="K42" s="20" t="s">
        <v>301</v>
      </c>
    </row>
    <row r="43" spans="2:22">
      <c r="B43" s="20" t="s">
        <v>5</v>
      </c>
      <c r="C43" s="20" t="s">
        <v>302</v>
      </c>
      <c r="D43" s="75">
        <f t="shared" ref="D43:K43" si="5">SUMIFS(O$4:O$24,$M$4:$M$24,$B43,$N$4:$N$24,"auto")/SUMIFS(O$4:O$24,$M$4:$M$24,$B43,$N$4:$N$24,"private_auto")</f>
        <v>1.1871690984564143</v>
      </c>
      <c r="E43" s="75">
        <f t="shared" si="5"/>
        <v>1.2521694633376688</v>
      </c>
      <c r="F43" s="75">
        <f t="shared" si="5"/>
        <v>1.2859890219960735</v>
      </c>
      <c r="G43" s="75">
        <f t="shared" si="5"/>
        <v>1.2579305430292502</v>
      </c>
      <c r="H43" s="75">
        <f t="shared" si="5"/>
        <v>1.2353617484074784</v>
      </c>
      <c r="I43" s="75">
        <f t="shared" si="5"/>
        <v>1.3032087200140081</v>
      </c>
      <c r="J43" s="75">
        <f t="shared" si="5"/>
        <v>1.3539391122472693</v>
      </c>
      <c r="K43" s="75">
        <f t="shared" si="5"/>
        <v>1.2</v>
      </c>
    </row>
    <row r="44" spans="2:22">
      <c r="B44" s="20" t="s">
        <v>9</v>
      </c>
      <c r="C44" s="20" t="s">
        <v>302</v>
      </c>
      <c r="D44" s="75">
        <f t="shared" ref="D44:K44" si="6">SUMIFS(O$4:O$24,$M$4:$M$24,$B44,$N$4:$N$24,"auto")/SUMIFS(O$4:O$24,$M$4:$M$24,$B44,$N$4:$N$24,"private_auto")</f>
        <v>1.2886383761324161</v>
      </c>
      <c r="E44" s="75">
        <f t="shared" si="6"/>
        <v>1.307445567651633</v>
      </c>
      <c r="F44" s="75">
        <f t="shared" si="6"/>
        <v>1.3286718104160926</v>
      </c>
      <c r="G44" s="75">
        <f t="shared" si="6"/>
        <v>1.3041880969875093</v>
      </c>
      <c r="H44" s="75">
        <f t="shared" si="6"/>
        <v>1.2376646861276157</v>
      </c>
      <c r="I44" s="75">
        <f t="shared" si="6"/>
        <v>1.3298817190722734</v>
      </c>
      <c r="J44" s="75">
        <f t="shared" si="6"/>
        <v>1.3187536287981421</v>
      </c>
      <c r="K44" s="75">
        <f t="shared" si="6"/>
        <v>1.36</v>
      </c>
    </row>
    <row r="45" spans="2:22">
      <c r="B45" s="20" t="s">
        <v>10</v>
      </c>
      <c r="C45" s="20" t="s">
        <v>302</v>
      </c>
      <c r="D45" s="75">
        <f t="shared" ref="D45:K45" si="7">SUMIFS(O$4:O$24,$M$4:$M$24,$B45,$N$4:$N$24,"auto")/SUMIFS(O$4:O$24,$M$4:$M$24,$B45,$N$4:$N$24,"private_auto")</f>
        <v>1.2070861057804401</v>
      </c>
      <c r="E45" s="75">
        <f t="shared" si="7"/>
        <v>1.252336857774567</v>
      </c>
      <c r="F45" s="75">
        <f t="shared" si="7"/>
        <v>1.3178801140791874</v>
      </c>
      <c r="G45" s="75">
        <f t="shared" si="7"/>
        <v>1.3213105707392654</v>
      </c>
      <c r="H45" s="75">
        <f t="shared" si="7"/>
        <v>1.3841559165203297</v>
      </c>
      <c r="I45" s="75">
        <f t="shared" si="7"/>
        <v>1.3898976221251103</v>
      </c>
      <c r="J45" s="75">
        <f t="shared" si="7"/>
        <v>1.3453096812988574</v>
      </c>
      <c r="K45" s="75">
        <f t="shared" si="7"/>
        <v>1.4347826086956521</v>
      </c>
    </row>
    <row r="47" spans="2:22">
      <c r="B47" s="20" t="s">
        <v>314</v>
      </c>
      <c r="M47" s="20" t="s">
        <v>315</v>
      </c>
    </row>
    <row r="48" spans="2:22">
      <c r="D48" s="20" t="s">
        <v>294</v>
      </c>
      <c r="E48" s="20" t="s">
        <v>295</v>
      </c>
      <c r="F48" s="20" t="s">
        <v>296</v>
      </c>
      <c r="G48" s="20" t="s">
        <v>297</v>
      </c>
      <c r="H48" s="20" t="s">
        <v>298</v>
      </c>
      <c r="I48" s="20" t="s">
        <v>299</v>
      </c>
      <c r="J48" s="20" t="s">
        <v>300</v>
      </c>
      <c r="K48" s="20" t="s">
        <v>301</v>
      </c>
      <c r="O48" s="20" t="s">
        <v>294</v>
      </c>
      <c r="P48" s="20" t="s">
        <v>295</v>
      </c>
      <c r="Q48" s="20" t="s">
        <v>296</v>
      </c>
      <c r="R48" s="20" t="s">
        <v>297</v>
      </c>
      <c r="S48" s="20" t="s">
        <v>298</v>
      </c>
      <c r="T48" s="20" t="s">
        <v>299</v>
      </c>
      <c r="U48" s="20" t="s">
        <v>300</v>
      </c>
      <c r="V48" s="20" t="s">
        <v>301</v>
      </c>
    </row>
    <row r="49" spans="2:22">
      <c r="B49" s="20" t="s">
        <v>5</v>
      </c>
      <c r="C49" s="20" t="s">
        <v>302</v>
      </c>
      <c r="D49" s="109">
        <f t="shared" ref="D49:K49" ca="1" si="8">SUMIF($A$4:$A$24,$B49&amp;$C49,D$4:D$24)/SUM(OFFSET($D$4:$K$4,MATCH($B49&amp;$C49,$A$4:$A$24,0)-1,0))</f>
        <v>7.4176094787349088E-3</v>
      </c>
      <c r="E49" s="109">
        <f t="shared" ca="1" si="8"/>
        <v>2.3155391242556646E-2</v>
      </c>
      <c r="F49" s="109">
        <f t="shared" ca="1" si="8"/>
        <v>7.2869516038597842E-2</v>
      </c>
      <c r="G49" s="109">
        <f t="shared" ca="1" si="8"/>
        <v>0.16804784583429877</v>
      </c>
      <c r="H49" s="109">
        <f t="shared" ca="1" si="8"/>
        <v>0.34910727599640434</v>
      </c>
      <c r="I49" s="109">
        <f t="shared" ca="1" si="8"/>
        <v>0.31986409849770686</v>
      </c>
      <c r="J49" s="109">
        <f t="shared" ca="1" si="8"/>
        <v>5.7372249657462251E-2</v>
      </c>
      <c r="K49" s="109">
        <f t="shared" ca="1" si="8"/>
        <v>2.1660132542383041E-3</v>
      </c>
      <c r="M49" s="20" t="s">
        <v>5</v>
      </c>
      <c r="N49" s="20" t="s">
        <v>302</v>
      </c>
      <c r="O49" s="109">
        <f t="shared" ref="O49:V49" si="9">SUMIF($A$4:$A$24,$B49&amp;$C49,D$4:D$24)/(SUMIFS(D$4:D$24,$B$4:$B$24,$M49,$C$4:$C$24,"auto")+SUMIFS(D$4:D$24,$B$4:$B$24,$M49,$C$4:$C$24,"biking")+SUMIFS(D$4:D$24,$B$4:$B$24,$M49,$C$4:$C$24,"public_transit")+SUMIFS(D$4:D$24,$B$4:$B$24,$M49,$C$4:$C$24,"walking"))</f>
        <v>0.61414159299497051</v>
      </c>
      <c r="P49" s="109">
        <f t="shared" si="9"/>
        <v>0.83691764352960762</v>
      </c>
      <c r="Q49" s="109">
        <f t="shared" si="9"/>
        <v>0.97476929867341622</v>
      </c>
      <c r="R49" s="109">
        <f t="shared" si="9"/>
        <v>0.9929190344723221</v>
      </c>
      <c r="S49" s="109">
        <f t="shared" si="9"/>
        <v>0.9965190155832172</v>
      </c>
      <c r="T49" s="109">
        <f t="shared" si="9"/>
        <v>0.99458458104956438</v>
      </c>
      <c r="U49" s="109">
        <f t="shared" si="9"/>
        <v>1</v>
      </c>
      <c r="V49" s="109">
        <f t="shared" si="9"/>
        <v>1</v>
      </c>
    </row>
    <row r="50" spans="2:22">
      <c r="B50" s="20" t="s">
        <v>5</v>
      </c>
      <c r="C50" s="20" t="s">
        <v>304</v>
      </c>
      <c r="D50" s="109">
        <f t="shared" ref="D50:K50" ca="1" si="10">SUMIF($A$4:$A$24,$B50&amp;$C50,D$4:D$24)/SUM(OFFSET($D$4:$K$4,MATCH($B50&amp;$C50,$A$4:$A$24,0)-1,0))</f>
        <v>1.9981900980850068E-2</v>
      </c>
      <c r="E50" s="109">
        <f t="shared" ca="1" si="10"/>
        <v>8.0088159738439982E-2</v>
      </c>
      <c r="F50" s="109">
        <f t="shared" ca="1" si="10"/>
        <v>0.36856317141522649</v>
      </c>
      <c r="G50" s="109">
        <f t="shared" ca="1" si="10"/>
        <v>0.4914321578701541</v>
      </c>
      <c r="H50" s="109">
        <f t="shared" ca="1" si="10"/>
        <v>3.9934609995329287E-2</v>
      </c>
      <c r="I50" s="109">
        <f t="shared" ca="1" si="10"/>
        <v>0</v>
      </c>
      <c r="J50" s="109">
        <f t="shared" ca="1" si="10"/>
        <v>0</v>
      </c>
      <c r="K50" s="109">
        <f t="shared" ca="1" si="10"/>
        <v>0</v>
      </c>
      <c r="M50" s="20" t="s">
        <v>5</v>
      </c>
      <c r="N50" s="20" t="s">
        <v>304</v>
      </c>
      <c r="O50" s="109">
        <f t="shared" ref="O50:V50" si="11">SUMIF($A$4:$A$24,$B50&amp;$C50,D$4:D$24)/(SUMIFS(D$4:D$24,$B$4:$B$24,$M50,$C$4:$C$24,"auto")+SUMIFS(D$4:D$24,$B$4:$B$24,$M50,$C$4:$C$24,"biking")+SUMIFS(D$4:D$24,$B$4:$B$24,$M50,$C$4:$C$24,"public_transit")+SUMIFS(D$4:D$24,$B$4:$B$24,$M50,$C$4:$C$24,"walking"))</f>
        <v>2.8857382557409121E-3</v>
      </c>
      <c r="P50" s="109">
        <f t="shared" si="11"/>
        <v>5.0491061692587002E-3</v>
      </c>
      <c r="Q50" s="109">
        <f t="shared" si="11"/>
        <v>8.5997035688888997E-3</v>
      </c>
      <c r="R50" s="109">
        <f t="shared" si="11"/>
        <v>5.0647737158266174E-3</v>
      </c>
      <c r="S50" s="109">
        <f t="shared" si="11"/>
        <v>1.9883449266826878E-4</v>
      </c>
      <c r="T50" s="109">
        <f t="shared" si="11"/>
        <v>0</v>
      </c>
      <c r="U50" s="109">
        <f t="shared" si="11"/>
        <v>0</v>
      </c>
      <c r="V50" s="109">
        <f t="shared" si="11"/>
        <v>0</v>
      </c>
    </row>
    <row r="51" spans="2:22">
      <c r="B51" s="20" t="s">
        <v>5</v>
      </c>
      <c r="C51" s="20" t="s">
        <v>307</v>
      </c>
      <c r="D51" s="109">
        <f t="shared" ref="D51:K51" ca="1" si="12">SUMIF($A$4:$A$24,$B51&amp;$C51,D$4:D$24)/SUM(OFFSET($D$4:$K$4,MATCH($B51&amp;$C51,$A$4:$A$24,0)-1,0))</f>
        <v>1.3867381607229529E-4</v>
      </c>
      <c r="E51" s="109">
        <f t="shared" ca="1" si="12"/>
        <v>1.1563855440250844E-2</v>
      </c>
      <c r="F51" s="109">
        <f t="shared" ca="1" si="12"/>
        <v>2.6764046501952986E-2</v>
      </c>
      <c r="G51" s="109">
        <f t="shared" ca="1" si="12"/>
        <v>8.6570981733576788E-2</v>
      </c>
      <c r="H51" s="109">
        <f t="shared" ca="1" si="12"/>
        <v>0.34794030862628178</v>
      </c>
      <c r="I51" s="109">
        <f t="shared" ca="1" si="12"/>
        <v>0.52702213388186536</v>
      </c>
      <c r="J51" s="109">
        <f t="shared" ca="1" si="12"/>
        <v>0</v>
      </c>
      <c r="K51" s="109">
        <f t="shared" ca="1" si="12"/>
        <v>0</v>
      </c>
      <c r="M51" s="20" t="s">
        <v>5</v>
      </c>
      <c r="N51" s="20" t="s">
        <v>307</v>
      </c>
      <c r="O51" s="109">
        <f t="shared" ref="O51:V51" si="13">SUMIF($A$4:$A$24,$B51&amp;$C51,D$4:D$24)/(SUMIFS(D$4:D$24,$B$4:$B$24,$M51,$C$4:$C$24,"auto")+SUMIFS(D$4:D$24,$B$4:$B$24,$M51,$C$4:$C$24,"biking")+SUMIFS(D$4:D$24,$B$4:$B$24,$M51,$C$4:$C$24,"public_transit")+SUMIFS(D$4:D$24,$B$4:$B$24,$M51,$C$4:$C$24,"walking"))</f>
        <v>3.7942504458244278E-5</v>
      </c>
      <c r="P51" s="109">
        <f t="shared" si="13"/>
        <v>1.3812116566534187E-3</v>
      </c>
      <c r="Q51" s="109">
        <f t="shared" si="13"/>
        <v>1.1831361212751984E-3</v>
      </c>
      <c r="R51" s="109">
        <f t="shared" si="13"/>
        <v>1.690363902840705E-3</v>
      </c>
      <c r="S51" s="109">
        <f t="shared" si="13"/>
        <v>3.282149924114409E-3</v>
      </c>
      <c r="T51" s="109">
        <f t="shared" si="13"/>
        <v>5.4154189504356329E-3</v>
      </c>
      <c r="U51" s="109">
        <f t="shared" si="13"/>
        <v>0</v>
      </c>
      <c r="V51" s="109">
        <f t="shared" si="13"/>
        <v>0</v>
      </c>
    </row>
    <row r="52" spans="2:22">
      <c r="B52" s="20" t="s">
        <v>5</v>
      </c>
      <c r="C52" s="20" t="s">
        <v>308</v>
      </c>
      <c r="D52" s="109">
        <f t="shared" ref="D52:K52" ca="1" si="14">SUMIF($A$4:$A$24,$B52&amp;$C52,D$4:D$24)/SUM(OFFSET($D$4:$K$4,MATCH($B52&amp;$C52,$A$4:$A$24,0)-1,0))</f>
        <v>0.45481288242186324</v>
      </c>
      <c r="E52" s="109">
        <f t="shared" ca="1" si="14"/>
        <v>0.42620447239552556</v>
      </c>
      <c r="F52" s="109">
        <f t="shared" ca="1" si="14"/>
        <v>0.11355989064362036</v>
      </c>
      <c r="G52" s="109">
        <f t="shared" ca="1" si="14"/>
        <v>5.4227545389907567E-3</v>
      </c>
      <c r="H52" s="109">
        <f t="shared" ca="1" si="14"/>
        <v>0</v>
      </c>
      <c r="I52" s="109">
        <f t="shared" ca="1" si="14"/>
        <v>0</v>
      </c>
      <c r="J52" s="109">
        <f t="shared" ca="1" si="14"/>
        <v>0</v>
      </c>
      <c r="K52" s="109">
        <f t="shared" ca="1" si="14"/>
        <v>0</v>
      </c>
      <c r="M52" s="20" t="s">
        <v>5</v>
      </c>
      <c r="N52" s="20" t="s">
        <v>308</v>
      </c>
      <c r="O52" s="109">
        <f t="shared" ref="O52:V52" si="15">SUMIF($A$4:$A$24,$B52&amp;$C52,D$4:D$24)/(SUMIFS(D$4:D$24,$B$4:$B$24,$M52,$C$4:$C$24,"auto")+SUMIFS(D$4:D$24,$B$4:$B$24,$M52,$C$4:$C$24,"biking")+SUMIFS(D$4:D$24,$B$4:$B$24,$M52,$C$4:$C$24,"public_transit")+SUMIFS(D$4:D$24,$B$4:$B$24,$M52,$C$4:$C$24,"walking"))</f>
        <v>0.38293472624483038</v>
      </c>
      <c r="P52" s="109">
        <f t="shared" si="15"/>
        <v>0.15665203864448016</v>
      </c>
      <c r="Q52" s="109">
        <f t="shared" si="15"/>
        <v>1.5447861636419612E-2</v>
      </c>
      <c r="R52" s="109">
        <f t="shared" si="15"/>
        <v>3.2582790901067608E-4</v>
      </c>
      <c r="S52" s="109">
        <f t="shared" si="15"/>
        <v>0</v>
      </c>
      <c r="T52" s="109">
        <f t="shared" si="15"/>
        <v>0</v>
      </c>
      <c r="U52" s="109">
        <f t="shared" si="15"/>
        <v>0</v>
      </c>
      <c r="V52" s="109">
        <f t="shared" si="15"/>
        <v>0</v>
      </c>
    </row>
    <row r="53" spans="2:22">
      <c r="B53" s="20" t="s">
        <v>9</v>
      </c>
      <c r="C53" s="20" t="s">
        <v>302</v>
      </c>
      <c r="D53" s="109">
        <f t="shared" ref="D53:K53" ca="1" si="16">SUMIF($A$4:$A$24,$B53&amp;$C53,D$4:D$24)/SUM(OFFSET($D$4:$K$4,MATCH($B53&amp;$C53,$A$4:$A$24,0)-1,0))</f>
        <v>1.0441912772813656E-2</v>
      </c>
      <c r="E53" s="109">
        <f t="shared" ca="1" si="16"/>
        <v>2.8168351639715629E-2</v>
      </c>
      <c r="F53" s="109">
        <f t="shared" ca="1" si="16"/>
        <v>7.9253597691058789E-2</v>
      </c>
      <c r="G53" s="109">
        <f t="shared" ca="1" si="16"/>
        <v>0.13825765911169366</v>
      </c>
      <c r="H53" s="109">
        <f t="shared" ca="1" si="16"/>
        <v>0.29855758039112795</v>
      </c>
      <c r="I53" s="109">
        <f t="shared" ca="1" si="16"/>
        <v>0.32052977305770886</v>
      </c>
      <c r="J53" s="109">
        <f t="shared" ca="1" si="16"/>
        <v>0.12337086692414077</v>
      </c>
      <c r="K53" s="109">
        <f t="shared" ca="1" si="16"/>
        <v>1.4202584117405707E-3</v>
      </c>
      <c r="M53" s="20" t="s">
        <v>9</v>
      </c>
      <c r="N53" s="20" t="s">
        <v>302</v>
      </c>
      <c r="O53" s="109">
        <f t="shared" ref="O53:V53" si="17">SUMIF($A$4:$A$24,$B53&amp;$C53,D$4:D$24)/(SUMIFS(D$4:D$24,$B$4:$B$24,$M53,$C$4:$C$24,"auto")+SUMIFS(D$4:D$24,$B$4:$B$24,$M53,$C$4:$C$24,"biking")+SUMIFS(D$4:D$24,$B$4:$B$24,$M53,$C$4:$C$24,"public_transit")+SUMIFS(D$4:D$24,$B$4:$B$24,$M53,$C$4:$C$24,"walking"))</f>
        <v>0.74019101787465025</v>
      </c>
      <c r="P53" s="109">
        <f t="shared" si="17"/>
        <v>0.90108513640019516</v>
      </c>
      <c r="Q53" s="109">
        <f t="shared" si="17"/>
        <v>0.97765704303966827</v>
      </c>
      <c r="R53" s="109">
        <f t="shared" si="17"/>
        <v>0.99445344457628027</v>
      </c>
      <c r="S53" s="109">
        <f t="shared" si="17"/>
        <v>0.9998132005267808</v>
      </c>
      <c r="T53" s="109">
        <f t="shared" si="17"/>
        <v>0.9999112798460813</v>
      </c>
      <c r="U53" s="109">
        <f t="shared" si="17"/>
        <v>1</v>
      </c>
      <c r="V53" s="109">
        <f t="shared" si="17"/>
        <v>1</v>
      </c>
    </row>
    <row r="54" spans="2:22">
      <c r="B54" s="20" t="s">
        <v>9</v>
      </c>
      <c r="C54" s="20" t="s">
        <v>304</v>
      </c>
      <c r="D54" s="109">
        <f t="shared" ref="D54:K54" ca="1" si="18">SUMIF($A$4:$A$24,$B54&amp;$C54,D$4:D$24)/SUM(OFFSET($D$4:$K$4,MATCH($B54&amp;$C54,$A$4:$A$24,0)-1,0))</f>
        <v>5.2558782849239288E-2</v>
      </c>
      <c r="E54" s="109">
        <f t="shared" ca="1" si="18"/>
        <v>0.16916397725526358</v>
      </c>
      <c r="F54" s="109">
        <f t="shared" ca="1" si="18"/>
        <v>0.45379975411095752</v>
      </c>
      <c r="G54" s="109">
        <f t="shared" ca="1" si="18"/>
        <v>0.30551713539265413</v>
      </c>
      <c r="H54" s="109">
        <f t="shared" ca="1" si="18"/>
        <v>1.8960350391885664E-2</v>
      </c>
      <c r="I54" s="109">
        <f t="shared" ca="1" si="18"/>
        <v>0</v>
      </c>
      <c r="J54" s="109">
        <f t="shared" ca="1" si="18"/>
        <v>0</v>
      </c>
      <c r="K54" s="109">
        <f t="shared" ca="1" si="18"/>
        <v>0</v>
      </c>
      <c r="M54" s="20" t="s">
        <v>9</v>
      </c>
      <c r="N54" s="20" t="s">
        <v>304</v>
      </c>
      <c r="O54" s="109">
        <f t="shared" ref="O54:V54" si="19">SUMIF($A$4:$A$24,$B54&amp;$C54,D$4:D$24)/(SUMIFS(D$4:D$24,$B$4:$B$24,$M54,$C$4:$C$24,"auto")+SUMIFS(D$4:D$24,$B$4:$B$24,$M54,$C$4:$C$24,"biking")+SUMIFS(D$4:D$24,$B$4:$B$24,$M54,$C$4:$C$24,"public_transit")+SUMIFS(D$4:D$24,$B$4:$B$24,$M54,$C$4:$C$24,"walking"))</f>
        <v>8.8821363875416347E-3</v>
      </c>
      <c r="P54" s="109">
        <f t="shared" si="19"/>
        <v>1.290091958973728E-2</v>
      </c>
      <c r="Q54" s="109">
        <f t="shared" si="19"/>
        <v>1.3345664170368934E-2</v>
      </c>
      <c r="R54" s="109">
        <f t="shared" si="19"/>
        <v>5.2388892658769238E-3</v>
      </c>
      <c r="S54" s="109">
        <f t="shared" si="19"/>
        <v>1.5137198691912918E-4</v>
      </c>
      <c r="T54" s="109">
        <f t="shared" si="19"/>
        <v>0</v>
      </c>
      <c r="U54" s="109">
        <f t="shared" si="19"/>
        <v>0</v>
      </c>
      <c r="V54" s="109">
        <f t="shared" si="19"/>
        <v>0</v>
      </c>
    </row>
    <row r="55" spans="2:22">
      <c r="B55" s="20" t="s">
        <v>9</v>
      </c>
      <c r="C55" s="20" t="s">
        <v>307</v>
      </c>
      <c r="D55" s="109">
        <f t="shared" ref="D55:K55" ca="1" si="20">SUMIF($A$4:$A$24,$B55&amp;$C55,D$4:D$24)/SUM(OFFSET($D$4:$K$4,MATCH($B55&amp;$C55,$A$4:$A$24,0)-1,0))</f>
        <v>0</v>
      </c>
      <c r="E55" s="109">
        <f t="shared" ca="1" si="20"/>
        <v>3.3203125000000035E-2</v>
      </c>
      <c r="F55" s="109">
        <f t="shared" ca="1" si="20"/>
        <v>3.7109375000000035E-2</v>
      </c>
      <c r="G55" s="109">
        <f t="shared" ca="1" si="20"/>
        <v>9.7656250000000097E-2</v>
      </c>
      <c r="H55" s="109">
        <f t="shared" ca="1" si="20"/>
        <v>0.22558593750000025</v>
      </c>
      <c r="I55" s="109">
        <f t="shared" ca="1" si="20"/>
        <v>0.60644531249999967</v>
      </c>
      <c r="J55" s="109">
        <f t="shared" ca="1" si="20"/>
        <v>0</v>
      </c>
      <c r="K55" s="109">
        <f t="shared" ca="1" si="20"/>
        <v>0</v>
      </c>
      <c r="M55" s="20" t="s">
        <v>9</v>
      </c>
      <c r="N55" s="20" t="s">
        <v>307</v>
      </c>
      <c r="O55" s="109">
        <f t="shared" ref="O55:V55" si="21">SUMIF($A$4:$A$24,$B55&amp;$C55,D$4:D$24)/(SUMIFS(D$4:D$24,$B$4:$B$24,$M55,$C$4:$C$24,"auto")+SUMIFS(D$4:D$24,$B$4:$B$24,$M55,$C$4:$C$24,"biking")+SUMIFS(D$4:D$24,$B$4:$B$24,$M55,$C$4:$C$24,"public_transit")+SUMIFS(D$4:D$24,$B$4:$B$24,$M55,$C$4:$C$24,"walking"))</f>
        <v>0</v>
      </c>
      <c r="P55" s="109">
        <f t="shared" si="21"/>
        <v>4.9810500346475981E-5</v>
      </c>
      <c r="Q55" s="109">
        <f t="shared" si="21"/>
        <v>2.146785922507808E-5</v>
      </c>
      <c r="R55" s="109">
        <f t="shared" si="21"/>
        <v>3.2940702124477638E-5</v>
      </c>
      <c r="S55" s="109">
        <f t="shared" si="21"/>
        <v>3.5427486300221722E-5</v>
      </c>
      <c r="T55" s="109">
        <f t="shared" si="21"/>
        <v>8.8720153918751921E-5</v>
      </c>
      <c r="U55" s="109">
        <f t="shared" si="21"/>
        <v>0</v>
      </c>
      <c r="V55" s="109">
        <f t="shared" si="21"/>
        <v>0</v>
      </c>
    </row>
    <row r="56" spans="2:22">
      <c r="B56" s="20" t="s">
        <v>9</v>
      </c>
      <c r="C56" s="20" t="s">
        <v>308</v>
      </c>
      <c r="D56" s="109">
        <f t="shared" ref="D56:K56" ca="1" si="22">SUMIF($A$4:$A$24,$B56&amp;$C56,D$4:D$24)/SUM(OFFSET($D$4:$K$4,MATCH($B56&amp;$C56,$A$4:$A$24,0)-1,0))</f>
        <v>0.50620194637641291</v>
      </c>
      <c r="E56" s="109">
        <f t="shared" ca="1" si="22"/>
        <v>0.38428490968865836</v>
      </c>
      <c r="F56" s="109">
        <f t="shared" ca="1" si="22"/>
        <v>0.10405123973437071</v>
      </c>
      <c r="G56" s="109">
        <f t="shared" ca="1" si="22"/>
        <v>5.4619042005579791E-3</v>
      </c>
      <c r="H56" s="109">
        <f t="shared" ca="1" si="22"/>
        <v>0</v>
      </c>
      <c r="I56" s="109">
        <f t="shared" ca="1" si="22"/>
        <v>0</v>
      </c>
      <c r="J56" s="109">
        <f t="shared" ca="1" si="22"/>
        <v>0</v>
      </c>
      <c r="K56" s="109">
        <f t="shared" ca="1" si="22"/>
        <v>0</v>
      </c>
      <c r="M56" s="20" t="s">
        <v>9</v>
      </c>
      <c r="N56" s="20" t="s">
        <v>308</v>
      </c>
      <c r="O56" s="109">
        <f t="shared" ref="O56:V56" si="23">SUMIF($A$4:$A$24,$B56&amp;$C56,D$4:D$24)/(SUMIFS(D$4:D$24,$B$4:$B$24,$M56,$C$4:$C$24,"auto")+SUMIFS(D$4:D$24,$B$4:$B$24,$M56,$C$4:$C$24,"biking")+SUMIFS(D$4:D$24,$B$4:$B$24,$M56,$C$4:$C$24,"public_transit")+SUMIFS(D$4:D$24,$B$4:$B$24,$M56,$C$4:$C$24,"walking"))</f>
        <v>0.25092684573780816</v>
      </c>
      <c r="P56" s="109">
        <f t="shared" si="23"/>
        <v>8.5964133509721111E-2</v>
      </c>
      <c r="Q56" s="109">
        <f t="shared" si="23"/>
        <v>8.9758249307379089E-3</v>
      </c>
      <c r="R56" s="109">
        <f t="shared" si="23"/>
        <v>2.7472545571814353E-4</v>
      </c>
      <c r="S56" s="109">
        <f t="shared" si="23"/>
        <v>0</v>
      </c>
      <c r="T56" s="109">
        <f t="shared" si="23"/>
        <v>0</v>
      </c>
      <c r="U56" s="109">
        <f t="shared" si="23"/>
        <v>0</v>
      </c>
      <c r="V56" s="109">
        <f t="shared" si="23"/>
        <v>0</v>
      </c>
    </row>
    <row r="57" spans="2:22">
      <c r="B57" s="20" t="s">
        <v>10</v>
      </c>
      <c r="C57" s="20" t="s">
        <v>302</v>
      </c>
      <c r="D57" s="109">
        <f t="shared" ref="D57:K57" ca="1" si="24">SUMIF($A$4:$A$24,$B57&amp;$C57,D$4:D$24)/SUM(OFFSET($D$4:$K$4,MATCH($B57&amp;$C57,$A$4:$A$24,0)-1,0))</f>
        <v>8.1193710579520861E-3</v>
      </c>
      <c r="E57" s="109">
        <f t="shared" ca="1" si="24"/>
        <v>2.5697636565401749E-2</v>
      </c>
      <c r="F57" s="109">
        <f t="shared" ca="1" si="24"/>
        <v>8.8900327073945892E-2</v>
      </c>
      <c r="G57" s="109">
        <f t="shared" ca="1" si="24"/>
        <v>0.21009326877801571</v>
      </c>
      <c r="H57" s="109">
        <f t="shared" ca="1" si="24"/>
        <v>0.3596462374343905</v>
      </c>
      <c r="I57" s="109">
        <f t="shared" ca="1" si="24"/>
        <v>0.27324146673389305</v>
      </c>
      <c r="J57" s="109">
        <f t="shared" ca="1" si="24"/>
        <v>3.3431991215839126E-2</v>
      </c>
      <c r="K57" s="109">
        <f t="shared" ca="1" si="24"/>
        <v>8.6970114056192014E-4</v>
      </c>
      <c r="M57" s="20" t="s">
        <v>10</v>
      </c>
      <c r="N57" s="20" t="s">
        <v>302</v>
      </c>
      <c r="O57" s="109">
        <f t="shared" ref="O57:V57" si="25">SUMIF($A$4:$A$24,$B57&amp;$C57,D$4:D$24)/(SUMIFS(D$4:D$24,$B$4:$B$24,$M57,$C$4:$C$24,"auto")+SUMIFS(D$4:D$24,$B$4:$B$24,$M57,$C$4:$C$24,"biking")+SUMIFS(D$4:D$24,$B$4:$B$24,$M57,$C$4:$C$24,"public_transit")+SUMIFS(D$4:D$24,$B$4:$B$24,$M57,$C$4:$C$24,"walking"))</f>
        <v>0.60177132849637227</v>
      </c>
      <c r="P57" s="109">
        <f t="shared" si="25"/>
        <v>0.83746845071396459</v>
      </c>
      <c r="Q57" s="109">
        <f t="shared" si="25"/>
        <v>0.96847271096608845</v>
      </c>
      <c r="R57" s="109">
        <f t="shared" si="25"/>
        <v>0.98508192446728826</v>
      </c>
      <c r="S57" s="109">
        <f t="shared" si="25"/>
        <v>0.991247720685832</v>
      </c>
      <c r="T57" s="109">
        <f t="shared" si="25"/>
        <v>0.99153597550770534</v>
      </c>
      <c r="U57" s="109">
        <f t="shared" si="25"/>
        <v>0.9990676142511199</v>
      </c>
      <c r="V57" s="109">
        <f t="shared" si="25"/>
        <v>1</v>
      </c>
    </row>
    <row r="58" spans="2:22">
      <c r="B58" s="20" t="s">
        <v>10</v>
      </c>
      <c r="C58" s="20" t="s">
        <v>304</v>
      </c>
      <c r="D58" s="109">
        <f t="shared" ref="D58:K58" ca="1" si="26">SUMIF($A$4:$A$24,$B58&amp;$C58,D$4:D$24)/SUM(OFFSET($D$4:$K$4,MATCH($B58&amp;$C58,$A$4:$A$24,0)-1,0))</f>
        <v>1.1738059714907156E-2</v>
      </c>
      <c r="E58" s="109">
        <f t="shared" ca="1" si="26"/>
        <v>6.3151240615244505E-2</v>
      </c>
      <c r="F58" s="109">
        <f t="shared" ca="1" si="26"/>
        <v>0.36913771098847764</v>
      </c>
      <c r="G58" s="109">
        <f t="shared" ca="1" si="26"/>
        <v>0.50641728532652663</v>
      </c>
      <c r="H58" s="109">
        <f t="shared" ca="1" si="26"/>
        <v>4.9555703354844119E-2</v>
      </c>
      <c r="I58" s="109">
        <f t="shared" ca="1" si="26"/>
        <v>0</v>
      </c>
      <c r="J58" s="109">
        <f t="shared" ca="1" si="26"/>
        <v>0</v>
      </c>
      <c r="K58" s="109">
        <f t="shared" ca="1" si="26"/>
        <v>0</v>
      </c>
      <c r="M58" s="20" t="s">
        <v>10</v>
      </c>
      <c r="N58" s="20" t="s">
        <v>304</v>
      </c>
      <c r="O58" s="109">
        <f t="shared" ref="O58:V58" si="27">SUMIF($A$4:$A$24,$B58&amp;$C58,D$4:D$24)/(SUMIFS(D$4:D$24,$B$4:$B$24,$M58,$C$4:$C$24,"auto")+SUMIFS(D$4:D$24,$B$4:$B$24,$M58,$C$4:$C$24,"biking")+SUMIFS(D$4:D$24,$B$4:$B$24,$M58,$C$4:$C$24,"public_transit")+SUMIFS(D$4:D$24,$B$4:$B$24,$M58,$C$4:$C$24,"walking"))</f>
        <v>2.8006719325208195E-3</v>
      </c>
      <c r="P58" s="109">
        <f t="shared" si="27"/>
        <v>6.6254286459659353E-3</v>
      </c>
      <c r="Q58" s="109">
        <f t="shared" si="27"/>
        <v>1.2945811106081829E-2</v>
      </c>
      <c r="R58" s="109">
        <f t="shared" si="27"/>
        <v>7.6440858286558064E-3</v>
      </c>
      <c r="S58" s="109">
        <f t="shared" si="27"/>
        <v>4.3970068985771366E-4</v>
      </c>
      <c r="T58" s="109">
        <f t="shared" si="27"/>
        <v>0</v>
      </c>
      <c r="U58" s="109">
        <f t="shared" si="27"/>
        <v>0</v>
      </c>
      <c r="V58" s="109">
        <f t="shared" si="27"/>
        <v>0</v>
      </c>
    </row>
    <row r="59" spans="2:22">
      <c r="B59" s="20" t="s">
        <v>10</v>
      </c>
      <c r="C59" s="20" t="s">
        <v>307</v>
      </c>
      <c r="D59" s="109">
        <f t="shared" ref="D59:K59" ca="1" si="28">SUMIF($A$4:$A$24,$B59&amp;$C59,D$4:D$24)/SUM(OFFSET($D$4:$K$4,MATCH($B59&amp;$C59,$A$4:$A$24,0)-1,0))</f>
        <v>1.9358194612200071E-3</v>
      </c>
      <c r="E59" s="109">
        <f t="shared" ca="1" si="28"/>
        <v>2.0786443973959012E-2</v>
      </c>
      <c r="F59" s="109">
        <f t="shared" ca="1" si="28"/>
        <v>7.8285445836728682E-2</v>
      </c>
      <c r="G59" s="109">
        <f t="shared" ca="1" si="28"/>
        <v>0.1964762292201683</v>
      </c>
      <c r="H59" s="109">
        <f t="shared" ca="1" si="28"/>
        <v>0.39385046707784466</v>
      </c>
      <c r="I59" s="109">
        <f t="shared" ca="1" si="28"/>
        <v>0.30459117936368596</v>
      </c>
      <c r="J59" s="109">
        <f t="shared" ca="1" si="28"/>
        <v>4.0744150663934442E-3</v>
      </c>
      <c r="K59" s="109">
        <f t="shared" ca="1" si="28"/>
        <v>0</v>
      </c>
      <c r="M59" s="20" t="s">
        <v>10</v>
      </c>
      <c r="N59" s="20" t="s">
        <v>307</v>
      </c>
      <c r="O59" s="109">
        <f t="shared" ref="O59:V59" si="29">SUMIF($A$4:$A$24,$B59&amp;$C59,D$4:D$24)/(SUMIFS(D$4:D$24,$B$4:$B$24,$M59,$C$4:$C$24,"auto")+SUMIFS(D$4:D$24,$B$4:$B$24,$M59,$C$4:$C$24,"biking")+SUMIFS(D$4:D$24,$B$4:$B$24,$M59,$C$4:$C$24,"public_transit")+SUMIFS(D$4:D$24,$B$4:$B$24,$M59,$C$4:$C$24,"walking"))</f>
        <v>1.0986811537224345E-3</v>
      </c>
      <c r="P59" s="109">
        <f t="shared" si="29"/>
        <v>5.1874412625372074E-3</v>
      </c>
      <c r="Q59" s="109">
        <f t="shared" si="29"/>
        <v>6.5307457891677686E-3</v>
      </c>
      <c r="R59" s="109">
        <f t="shared" si="29"/>
        <v>7.0545277670225016E-3</v>
      </c>
      <c r="S59" s="109">
        <f t="shared" si="29"/>
        <v>8.3125786243102469E-3</v>
      </c>
      <c r="T59" s="109">
        <f t="shared" si="29"/>
        <v>8.4640244922946761E-3</v>
      </c>
      <c r="U59" s="109">
        <f t="shared" si="29"/>
        <v>9.3238574888012825E-4</v>
      </c>
      <c r="V59" s="109">
        <f t="shared" si="29"/>
        <v>0</v>
      </c>
    </row>
    <row r="60" spans="2:22">
      <c r="B60" s="20" t="s">
        <v>10</v>
      </c>
      <c r="C60" s="20" t="s">
        <v>308</v>
      </c>
      <c r="D60" s="109">
        <f t="shared" ref="D60:K60" ca="1" si="30">SUMIF($A$4:$A$24,$B60&amp;$C60,D$4:D$24)/SUM(OFFSET($D$4:$K$4,MATCH($B60&amp;$C60,$A$4:$A$24,0)-1,0))</f>
        <v>0.47939706789721132</v>
      </c>
      <c r="E60" s="109">
        <f t="shared" ca="1" si="30"/>
        <v>0.41671315970140177</v>
      </c>
      <c r="F60" s="109">
        <f t="shared" ca="1" si="30"/>
        <v>9.9672376185137884E-2</v>
      </c>
      <c r="G60" s="109">
        <f t="shared" ca="1" si="30"/>
        <v>4.2173962162490993E-3</v>
      </c>
      <c r="H60" s="109">
        <f t="shared" ca="1" si="30"/>
        <v>0</v>
      </c>
      <c r="I60" s="109">
        <f t="shared" ca="1" si="30"/>
        <v>0</v>
      </c>
      <c r="J60" s="109">
        <f t="shared" ca="1" si="30"/>
        <v>0</v>
      </c>
      <c r="K60" s="109">
        <f t="shared" ca="1" si="30"/>
        <v>0</v>
      </c>
      <c r="M60" s="20" t="s">
        <v>10</v>
      </c>
      <c r="N60" s="20" t="s">
        <v>308</v>
      </c>
      <c r="O60" s="109">
        <f t="shared" ref="O60:V60" si="31">SUMIF($A$4:$A$24,$B60&amp;$C60,D$4:D$24)/(SUMIFS(D$4:D$24,$B$4:$B$24,$M60,$C$4:$C$24,"auto")+SUMIFS(D$4:D$24,$B$4:$B$24,$M60,$C$4:$C$24,"biking")+SUMIFS(D$4:D$24,$B$4:$B$24,$M60,$C$4:$C$24,"public_transit")+SUMIFS(D$4:D$24,$B$4:$B$24,$M60,$C$4:$C$24,"walking"))</f>
        <v>0.39432931841738444</v>
      </c>
      <c r="P60" s="109">
        <f t="shared" si="31"/>
        <v>0.15071867937753219</v>
      </c>
      <c r="Q60" s="109">
        <f t="shared" si="31"/>
        <v>1.2050732138661906E-2</v>
      </c>
      <c r="R60" s="109">
        <f t="shared" si="31"/>
        <v>2.19461937033553E-4</v>
      </c>
      <c r="S60" s="109">
        <f t="shared" si="31"/>
        <v>0</v>
      </c>
      <c r="T60" s="109">
        <f t="shared" si="31"/>
        <v>0</v>
      </c>
      <c r="U60" s="109">
        <f t="shared" si="31"/>
        <v>0</v>
      </c>
      <c r="V60" s="109">
        <f t="shared" si="31"/>
        <v>0</v>
      </c>
    </row>
    <row r="62" spans="2:22">
      <c r="D62" s="109"/>
      <c r="E62" s="109"/>
      <c r="F62" s="109"/>
      <c r="G62" s="109"/>
      <c r="H62" s="109"/>
      <c r="I62" s="109"/>
      <c r="J62" s="109"/>
      <c r="K62" s="109"/>
    </row>
    <row r="63" spans="2:22">
      <c r="D63" s="109"/>
      <c r="E63" s="109"/>
      <c r="F63" s="109"/>
      <c r="G63" s="109"/>
      <c r="H63" s="109"/>
      <c r="I63" s="109"/>
      <c r="J63" s="109"/>
      <c r="K63" s="109"/>
    </row>
    <row r="64" spans="2:22">
      <c r="B64" s="19" t="s">
        <v>316</v>
      </c>
    </row>
    <row r="66" spans="2:5">
      <c r="B66" s="20" t="s">
        <v>317</v>
      </c>
      <c r="C66" s="20" t="s">
        <v>318</v>
      </c>
      <c r="D66" s="20" t="s">
        <v>319</v>
      </c>
      <c r="E66" s="20" t="s">
        <v>320</v>
      </c>
    </row>
  </sheetData>
  <hyperlinks>
    <hyperlink ref="B64" r:id="rId1" xr:uid="{00000000-0004-0000-0900-000000000000}"/>
  </hyperlinks>
  <pageMargins left="0.7" right="0.7" top="0.75" bottom="0.75" header="0.3" footer="0.3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0.59999389629810485"/>
    <outlinePr summaryBelow="0" summaryRight="0"/>
  </sheetPr>
  <dimension ref="A1:T4"/>
  <sheetViews>
    <sheetView workbookViewId="0"/>
  </sheetViews>
  <sheetFormatPr defaultColWidth="12.5546875" defaultRowHeight="15.75" customHeight="1"/>
  <cols>
    <col min="2" max="2" width="15.5546875" customWidth="1"/>
    <col min="7" max="7" width="30.44140625" customWidth="1"/>
    <col min="8" max="8" width="30.109375" customWidth="1"/>
  </cols>
  <sheetData>
    <row r="1" spans="1:20" ht="15.75" customHeight="1">
      <c r="A1" s="110"/>
      <c r="B1" s="110" t="s">
        <v>321</v>
      </c>
      <c r="C1" s="110" t="s">
        <v>322</v>
      </c>
      <c r="D1" s="110" t="s">
        <v>323</v>
      </c>
      <c r="E1" s="110" t="s">
        <v>324</v>
      </c>
      <c r="F1" s="110" t="s">
        <v>325</v>
      </c>
      <c r="G1" s="110" t="s">
        <v>326</v>
      </c>
      <c r="H1" s="110" t="s">
        <v>327</v>
      </c>
      <c r="I1" s="110" t="s">
        <v>328</v>
      </c>
      <c r="J1" s="110" t="s">
        <v>329</v>
      </c>
      <c r="K1" s="110" t="s">
        <v>330</v>
      </c>
      <c r="L1" s="110" t="s">
        <v>331</v>
      </c>
      <c r="M1" s="110" t="s">
        <v>332</v>
      </c>
      <c r="N1" s="110" t="s">
        <v>333</v>
      </c>
      <c r="O1" s="110" t="s">
        <v>334</v>
      </c>
      <c r="P1" s="110" t="s">
        <v>335</v>
      </c>
      <c r="Q1" s="110" t="s">
        <v>336</v>
      </c>
      <c r="R1" s="110" t="s">
        <v>337</v>
      </c>
      <c r="S1" s="110" t="s">
        <v>338</v>
      </c>
      <c r="T1" s="110" t="s">
        <v>339</v>
      </c>
    </row>
    <row r="2" spans="1:20" ht="13.2">
      <c r="A2" s="20" t="str">
        <f t="shared" ref="A2:A4" si="0">LEFT(B2,FIND(" County",B2)-1)</f>
        <v>Greene</v>
      </c>
      <c r="B2" s="20" t="s">
        <v>340</v>
      </c>
      <c r="C2" s="21">
        <v>52644</v>
      </c>
      <c r="D2" s="21">
        <v>13854</v>
      </c>
      <c r="E2" s="21">
        <v>2126</v>
      </c>
      <c r="F2" s="21">
        <v>189681832</v>
      </c>
      <c r="G2" s="21">
        <v>120377293</v>
      </c>
      <c r="H2" s="21">
        <v>11270699</v>
      </c>
      <c r="I2" s="21">
        <v>16112615</v>
      </c>
      <c r="J2" s="21">
        <v>6451961</v>
      </c>
      <c r="K2" s="21">
        <v>1622694</v>
      </c>
      <c r="L2" s="21">
        <v>4786669</v>
      </c>
      <c r="M2" s="21">
        <v>1975850</v>
      </c>
      <c r="N2" s="21">
        <v>7182875</v>
      </c>
      <c r="O2" s="21">
        <v>5833566</v>
      </c>
      <c r="P2" s="21">
        <v>438941</v>
      </c>
      <c r="Q2" s="21">
        <v>1130612</v>
      </c>
      <c r="R2" s="21">
        <v>4313005</v>
      </c>
      <c r="S2" s="21">
        <v>61962</v>
      </c>
      <c r="T2" s="21">
        <v>8123090</v>
      </c>
    </row>
    <row r="3" spans="1:20" ht="15.75" customHeight="1">
      <c r="A3" s="20" t="str">
        <f t="shared" si="0"/>
        <v>Miami</v>
      </c>
      <c r="B3" s="110" t="s">
        <v>341</v>
      </c>
      <c r="C3" s="111">
        <v>34096</v>
      </c>
      <c r="D3" s="111">
        <v>9329</v>
      </c>
      <c r="E3" s="111">
        <v>950</v>
      </c>
      <c r="F3" s="111">
        <v>137598039</v>
      </c>
      <c r="G3" s="111">
        <v>84290066</v>
      </c>
      <c r="H3" s="111">
        <v>6548693</v>
      </c>
      <c r="I3" s="111">
        <v>10078144</v>
      </c>
      <c r="J3" s="111">
        <v>3639002</v>
      </c>
      <c r="K3" s="111">
        <v>1570872</v>
      </c>
      <c r="L3" s="111">
        <v>17048784</v>
      </c>
      <c r="M3" s="111">
        <v>1968984</v>
      </c>
      <c r="N3" s="111">
        <v>3158100</v>
      </c>
      <c r="O3" s="111">
        <v>2816126</v>
      </c>
      <c r="P3" s="111">
        <v>101153</v>
      </c>
      <c r="Q3" s="111">
        <v>905012</v>
      </c>
      <c r="R3" s="111">
        <v>4995931</v>
      </c>
      <c r="S3" s="111">
        <v>97746</v>
      </c>
      <c r="T3" s="111">
        <v>379426</v>
      </c>
    </row>
    <row r="4" spans="1:20" ht="15.75" customHeight="1">
      <c r="A4" s="20" t="str">
        <f t="shared" si="0"/>
        <v>Montgomery</v>
      </c>
      <c r="B4" s="110" t="s">
        <v>342</v>
      </c>
      <c r="C4" s="111">
        <v>195432</v>
      </c>
      <c r="D4" s="111">
        <v>43108</v>
      </c>
      <c r="E4" s="111">
        <v>6383</v>
      </c>
      <c r="F4" s="111">
        <v>665046621</v>
      </c>
      <c r="G4" s="111">
        <v>356383981</v>
      </c>
      <c r="H4" s="111">
        <v>46798489</v>
      </c>
      <c r="I4" s="111">
        <v>70849917</v>
      </c>
      <c r="J4" s="111">
        <v>37635615</v>
      </c>
      <c r="K4" s="111">
        <v>7826533</v>
      </c>
      <c r="L4" s="111">
        <v>57351893</v>
      </c>
      <c r="M4" s="111">
        <v>12230484</v>
      </c>
      <c r="N4" s="111">
        <v>31099511</v>
      </c>
      <c r="O4" s="111">
        <v>19784344</v>
      </c>
      <c r="P4" s="111">
        <v>6332746</v>
      </c>
      <c r="Q4" s="111">
        <v>6689518</v>
      </c>
      <c r="R4" s="111">
        <v>6200020</v>
      </c>
      <c r="S4" s="111">
        <v>5246076</v>
      </c>
      <c r="T4" s="111">
        <v>617494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0.59999389629810485"/>
    <outlinePr summaryBelow="0" summaryRight="0"/>
  </sheetPr>
  <dimension ref="A1:AQ47"/>
  <sheetViews>
    <sheetView workbookViewId="0"/>
  </sheetViews>
  <sheetFormatPr defaultColWidth="12.5546875" defaultRowHeight="15.75" customHeight="1"/>
  <cols>
    <col min="1" max="1" width="26.6640625" customWidth="1"/>
    <col min="2" max="2" width="16" customWidth="1"/>
  </cols>
  <sheetData>
    <row r="1" spans="1:43">
      <c r="A1" s="45" t="s">
        <v>343</v>
      </c>
      <c r="B1" s="20">
        <v>2021</v>
      </c>
      <c r="C1" s="20">
        <v>2022</v>
      </c>
      <c r="D1" s="20">
        <v>2023</v>
      </c>
      <c r="E1" s="20">
        <v>2024</v>
      </c>
      <c r="F1" s="20">
        <v>2025</v>
      </c>
      <c r="G1" s="20">
        <v>2026</v>
      </c>
      <c r="H1" s="20">
        <v>2027</v>
      </c>
      <c r="I1" s="20">
        <v>2028</v>
      </c>
      <c r="J1" s="20">
        <v>2029</v>
      </c>
      <c r="K1" s="20">
        <v>2030</v>
      </c>
      <c r="L1" s="20">
        <v>2031</v>
      </c>
      <c r="M1" s="20">
        <v>2032</v>
      </c>
      <c r="N1" s="20">
        <v>2033</v>
      </c>
      <c r="O1" s="20">
        <v>2034</v>
      </c>
      <c r="P1" s="20">
        <v>2035</v>
      </c>
      <c r="Q1" s="20">
        <v>2036</v>
      </c>
      <c r="R1" s="20">
        <v>2037</v>
      </c>
      <c r="S1" s="20">
        <v>2038</v>
      </c>
      <c r="T1" s="20">
        <v>2039</v>
      </c>
      <c r="U1" s="20">
        <v>2040</v>
      </c>
      <c r="V1" s="20">
        <v>2041</v>
      </c>
      <c r="W1" s="20">
        <v>2042</v>
      </c>
      <c r="X1" s="20">
        <v>2043</v>
      </c>
      <c r="Y1" s="20">
        <v>2044</v>
      </c>
      <c r="Z1" s="20">
        <v>2045</v>
      </c>
      <c r="AA1" s="20">
        <v>2046</v>
      </c>
      <c r="AB1" s="20">
        <v>2047</v>
      </c>
      <c r="AC1" s="20">
        <v>2048</v>
      </c>
      <c r="AD1" s="20">
        <v>2049</v>
      </c>
      <c r="AE1" s="20">
        <v>2050</v>
      </c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</row>
    <row r="2" spans="1:43">
      <c r="A2" s="20" t="s">
        <v>5</v>
      </c>
      <c r="B2" s="21">
        <f ca="1">SUMIFS('res bld data'!$G$3:$G$14,'res bld data'!$B$3:$B$14,A2)</f>
        <v>70985</v>
      </c>
      <c r="C2" s="21">
        <f t="shared" ref="C2:AE2" ca="1" si="0">B2*(1+$B$6)</f>
        <v>71611.605704999733</v>
      </c>
      <c r="D2" s="21">
        <f t="shared" ca="1" si="0"/>
        <v>72243.742644901737</v>
      </c>
      <c r="E2" s="21">
        <f t="shared" ca="1" si="0"/>
        <v>72881.459645561423</v>
      </c>
      <c r="F2" s="21">
        <f t="shared" ca="1" si="0"/>
        <v>73524.805963834529</v>
      </c>
      <c r="G2" s="21">
        <f t="shared" ca="1" si="0"/>
        <v>74173.831291381706</v>
      </c>
      <c r="H2" s="21">
        <f t="shared" ca="1" si="0"/>
        <v>74828.585758506699</v>
      </c>
      <c r="I2" s="21">
        <f t="shared" ca="1" si="0"/>
        <v>75489.119938028307</v>
      </c>
      <c r="J2" s="21">
        <f t="shared" ca="1" si="0"/>
        <v>76155.484849186687</v>
      </c>
      <c r="K2" s="21">
        <f t="shared" ca="1" si="0"/>
        <v>76827.731961583966</v>
      </c>
      <c r="L2" s="21">
        <f t="shared" ca="1" si="0"/>
        <v>77505.913199159768</v>
      </c>
      <c r="M2" s="21">
        <f t="shared" ca="1" si="0"/>
        <v>78190.080944201778</v>
      </c>
      <c r="N2" s="21">
        <f t="shared" ca="1" si="0"/>
        <v>78880.288041391716</v>
      </c>
      <c r="O2" s="21">
        <f t="shared" ca="1" si="0"/>
        <v>79576.587801886999</v>
      </c>
      <c r="P2" s="21">
        <f t="shared" ca="1" si="0"/>
        <v>80279.034007438517</v>
      </c>
      <c r="Q2" s="21">
        <f t="shared" ca="1" si="0"/>
        <v>80987.680914544646</v>
      </c>
      <c r="R2" s="21">
        <f t="shared" ca="1" si="0"/>
        <v>81702.583258642015</v>
      </c>
      <c r="S2" s="21">
        <f t="shared" ca="1" si="0"/>
        <v>82423.796258333226</v>
      </c>
      <c r="T2" s="21">
        <f t="shared" ca="1" si="0"/>
        <v>83151.37561965191</v>
      </c>
      <c r="U2" s="21">
        <f t="shared" ca="1" si="0"/>
        <v>83885.377540365429</v>
      </c>
      <c r="V2" s="21">
        <f t="shared" ca="1" si="0"/>
        <v>84625.858714315546</v>
      </c>
      <c r="W2" s="21">
        <f t="shared" ca="1" si="0"/>
        <v>85372.876335797424</v>
      </c>
      <c r="X2" s="21">
        <f t="shared" ca="1" si="0"/>
        <v>86126.488103977274</v>
      </c>
      <c r="Y2" s="21">
        <f t="shared" ca="1" si="0"/>
        <v>86886.752227349018</v>
      </c>
      <c r="Z2" s="21">
        <f t="shared" ca="1" si="0"/>
        <v>87653.727428230253</v>
      </c>
      <c r="AA2" s="21">
        <f t="shared" ca="1" si="0"/>
        <v>88427.472947297952</v>
      </c>
      <c r="AB2" s="21">
        <f t="shared" ca="1" si="0"/>
        <v>89208.048548164137</v>
      </c>
      <c r="AC2" s="21">
        <f t="shared" ca="1" si="0"/>
        <v>89995.514521992023</v>
      </c>
      <c r="AD2" s="21">
        <f t="shared" ca="1" si="0"/>
        <v>90789.931692152852</v>
      </c>
      <c r="AE2" s="21">
        <f t="shared" ca="1" si="0"/>
        <v>91591.361418923843</v>
      </c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</row>
    <row r="3" spans="1:43">
      <c r="A3" s="20" t="s">
        <v>9</v>
      </c>
      <c r="B3" s="21">
        <f ca="1">SUMIFS('res bld data'!$G$3:$G$14,'res bld data'!$B$3:$B$14,A3)</f>
        <v>46510</v>
      </c>
      <c r="C3" s="21">
        <f t="shared" ref="C3:AE3" ca="1" si="1">B3*(1+$B$6)</f>
        <v>46920.557601458582</v>
      </c>
      <c r="D3" s="21">
        <f t="shared" ca="1" si="1"/>
        <v>47334.739316959633</v>
      </c>
      <c r="E3" s="21">
        <f t="shared" ca="1" si="1"/>
        <v>47752.577137635577</v>
      </c>
      <c r="F3" s="21">
        <f t="shared" ca="1" si="1"/>
        <v>48174.103337014065</v>
      </c>
      <c r="G3" s="21">
        <f t="shared" ca="1" si="1"/>
        <v>48599.350473510778</v>
      </c>
      <c r="H3" s="21">
        <f t="shared" ca="1" si="1"/>
        <v>49028.35139294422</v>
      </c>
      <c r="I3" s="21">
        <f t="shared" ca="1" si="1"/>
        <v>49461.139231072702</v>
      </c>
      <c r="J3" s="21">
        <f t="shared" ca="1" si="1"/>
        <v>49897.747416153717</v>
      </c>
      <c r="K3" s="21">
        <f t="shared" ca="1" si="1"/>
        <v>50338.209671525939</v>
      </c>
      <c r="L3" s="21">
        <f t="shared" ca="1" si="1"/>
        <v>50782.560018213982</v>
      </c>
      <c r="M3" s="21">
        <f t="shared" ca="1" si="1"/>
        <v>51230.832777556156</v>
      </c>
      <c r="N3" s="21">
        <f t="shared" ca="1" si="1"/>
        <v>51683.06257385543</v>
      </c>
      <c r="O3" s="21">
        <f t="shared" ca="1" si="1"/>
        <v>52139.284337053788</v>
      </c>
      <c r="P3" s="21">
        <f t="shared" ca="1" si="1"/>
        <v>52599.533305430217</v>
      </c>
      <c r="Q3" s="21">
        <f t="shared" ca="1" si="1"/>
        <v>53063.845028322459</v>
      </c>
      <c r="R3" s="21">
        <f t="shared" ca="1" si="1"/>
        <v>53532.255368872837</v>
      </c>
      <c r="S3" s="21">
        <f t="shared" ca="1" si="1"/>
        <v>54004.800506798289</v>
      </c>
      <c r="T3" s="21">
        <f t="shared" ca="1" si="1"/>
        <v>54481.516941184876</v>
      </c>
      <c r="U3" s="21">
        <f t="shared" ca="1" si="1"/>
        <v>54962.441493306957</v>
      </c>
      <c r="V3" s="21">
        <f t="shared" ca="1" si="1"/>
        <v>55447.611309471213</v>
      </c>
      <c r="W3" s="21">
        <f t="shared" ca="1" si="1"/>
        <v>55937.063863885836</v>
      </c>
      <c r="X3" s="21">
        <f t="shared" ca="1" si="1"/>
        <v>56430.836961554989</v>
      </c>
      <c r="Y3" s="21">
        <f t="shared" ca="1" si="1"/>
        <v>56928.968741198856</v>
      </c>
      <c r="Z3" s="21">
        <f t="shared" ca="1" si="1"/>
        <v>57431.497678199441</v>
      </c>
      <c r="AA3" s="21">
        <f t="shared" ca="1" si="1"/>
        <v>57938.462587572387</v>
      </c>
      <c r="AB3" s="21">
        <f t="shared" ca="1" si="1"/>
        <v>58449.90262696502</v>
      </c>
      <c r="AC3" s="21">
        <f t="shared" ca="1" si="1"/>
        <v>58965.857299680873</v>
      </c>
      <c r="AD3" s="21">
        <f t="shared" ca="1" si="1"/>
        <v>59486.366457730881</v>
      </c>
      <c r="AE3" s="21">
        <f t="shared" ca="1" si="1"/>
        <v>60011.470304911534</v>
      </c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</row>
    <row r="4" spans="1:43">
      <c r="A4" s="20" t="s">
        <v>10</v>
      </c>
      <c r="B4" s="21">
        <f ca="1">SUMIFS('res bld data'!$G$3:$G$14,'res bld data'!$B$3:$B$14,A4)</f>
        <v>251896</v>
      </c>
      <c r="C4" s="21">
        <f t="shared" ref="C4:AE4" ca="1" si="2">B4*(1+$B$6)</f>
        <v>254119.56090253731</v>
      </c>
      <c r="D4" s="21">
        <f t="shared" ca="1" si="2"/>
        <v>256362.74983841891</v>
      </c>
      <c r="E4" s="21">
        <f t="shared" ca="1" si="2"/>
        <v>258625.74007013225</v>
      </c>
      <c r="F4" s="21">
        <f t="shared" ca="1" si="2"/>
        <v>260908.70638960428</v>
      </c>
      <c r="G4" s="21">
        <f t="shared" ca="1" si="2"/>
        <v>263211.82513170224</v>
      </c>
      <c r="H4" s="21">
        <f t="shared" ca="1" si="2"/>
        <v>265535.27418785373</v>
      </c>
      <c r="I4" s="21">
        <f t="shared" ca="1" si="2"/>
        <v>267879.23301978689</v>
      </c>
      <c r="J4" s="21">
        <f t="shared" ca="1" si="2"/>
        <v>270243.8826733919</v>
      </c>
      <c r="K4" s="21">
        <f t="shared" ca="1" si="2"/>
        <v>272629.40579270478</v>
      </c>
      <c r="L4" s="21">
        <f t="shared" ca="1" si="2"/>
        <v>275035.98663401487</v>
      </c>
      <c r="M4" s="21">
        <f t="shared" ca="1" si="2"/>
        <v>277463.81108009646</v>
      </c>
      <c r="N4" s="21">
        <f t="shared" ca="1" si="2"/>
        <v>279913.0666545665</v>
      </c>
      <c r="O4" s="21">
        <f t="shared" ca="1" si="2"/>
        <v>282383.94253636856</v>
      </c>
      <c r="P4" s="21">
        <f t="shared" ca="1" si="2"/>
        <v>284876.62957438512</v>
      </c>
      <c r="Q4" s="21">
        <f t="shared" ca="1" si="2"/>
        <v>287391.32030217838</v>
      </c>
      <c r="R4" s="21">
        <f t="shared" ca="1" si="2"/>
        <v>289928.20895286161</v>
      </c>
      <c r="S4" s="21">
        <f t="shared" ca="1" si="2"/>
        <v>292487.49147410155</v>
      </c>
      <c r="T4" s="21">
        <f t="shared" ca="1" si="2"/>
        <v>295069.3655432532</v>
      </c>
      <c r="U4" s="21">
        <f t="shared" ca="1" si="2"/>
        <v>297674.03058262845</v>
      </c>
      <c r="V4" s="21">
        <f t="shared" ca="1" si="2"/>
        <v>300301.68777489918</v>
      </c>
      <c r="W4" s="21">
        <f t="shared" ca="1" si="2"/>
        <v>302952.54007863655</v>
      </c>
      <c r="X4" s="21">
        <f t="shared" ca="1" si="2"/>
        <v>305626.79224398744</v>
      </c>
      <c r="Y4" s="21">
        <f t="shared" ca="1" si="2"/>
        <v>308324.6508284891</v>
      </c>
      <c r="Z4" s="21">
        <f t="shared" ca="1" si="2"/>
        <v>311046.32421302359</v>
      </c>
      <c r="AA4" s="21">
        <f t="shared" ca="1" si="2"/>
        <v>313792.02261791303</v>
      </c>
      <c r="AB4" s="21">
        <f t="shared" ca="1" si="2"/>
        <v>316561.95811915677</v>
      </c>
      <c r="AC4" s="21">
        <f t="shared" ca="1" si="2"/>
        <v>319356.34466481215</v>
      </c>
      <c r="AD4" s="21">
        <f t="shared" ca="1" si="2"/>
        <v>322175.3980915196</v>
      </c>
      <c r="AE4" s="21">
        <f t="shared" ca="1" si="2"/>
        <v>325019.33614117384</v>
      </c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</row>
    <row r="6" spans="1:43">
      <c r="A6" s="20" t="s">
        <v>344</v>
      </c>
      <c r="B6" s="22">
        <f>(B18-B46)/B46/($A18-$A46)</f>
        <v>8.8272973867680425E-3</v>
      </c>
      <c r="C6" s="22"/>
      <c r="D6" s="22"/>
      <c r="E6" s="22"/>
    </row>
    <row r="8" spans="1:43">
      <c r="A8" s="45" t="s">
        <v>345</v>
      </c>
      <c r="C8" s="20">
        <v>2022</v>
      </c>
      <c r="D8" s="20">
        <v>2023</v>
      </c>
      <c r="E8" s="20">
        <v>2024</v>
      </c>
      <c r="F8" s="20">
        <v>2025</v>
      </c>
      <c r="G8" s="20">
        <v>2026</v>
      </c>
      <c r="H8" s="20">
        <v>2027</v>
      </c>
      <c r="I8" s="20">
        <v>2028</v>
      </c>
      <c r="J8" s="20">
        <v>2029</v>
      </c>
      <c r="K8" s="20">
        <v>2030</v>
      </c>
      <c r="L8" s="20">
        <v>2031</v>
      </c>
      <c r="M8" s="20">
        <v>2032</v>
      </c>
      <c r="N8" s="20">
        <v>2033</v>
      </c>
      <c r="O8" s="20">
        <v>2034</v>
      </c>
      <c r="P8" s="20">
        <v>2035</v>
      </c>
      <c r="Q8" s="20">
        <v>2036</v>
      </c>
      <c r="R8" s="20">
        <v>2037</v>
      </c>
      <c r="S8" s="20">
        <v>2038</v>
      </c>
      <c r="T8" s="20">
        <v>2039</v>
      </c>
      <c r="U8" s="20">
        <v>2040</v>
      </c>
      <c r="V8" s="20">
        <v>2041</v>
      </c>
      <c r="W8" s="20">
        <v>2042</v>
      </c>
      <c r="X8" s="20">
        <v>2043</v>
      </c>
      <c r="Y8" s="20">
        <v>2044</v>
      </c>
      <c r="Z8" s="20">
        <v>2045</v>
      </c>
      <c r="AA8" s="20">
        <v>2046</v>
      </c>
      <c r="AB8" s="20">
        <v>2047</v>
      </c>
      <c r="AC8" s="20">
        <v>2048</v>
      </c>
      <c r="AD8" s="20">
        <v>2049</v>
      </c>
      <c r="AE8" s="20">
        <v>2050</v>
      </c>
    </row>
    <row r="9" spans="1:43">
      <c r="A9" s="20" t="s">
        <v>5</v>
      </c>
      <c r="C9" s="21">
        <f t="shared" ref="C9:AE9" ca="1" si="3">C2-B2</f>
        <v>626.60570499973255</v>
      </c>
      <c r="D9" s="21">
        <f t="shared" ca="1" si="3"/>
        <v>632.13693990200409</v>
      </c>
      <c r="E9" s="21">
        <f t="shared" ca="1" si="3"/>
        <v>637.71700065968616</v>
      </c>
      <c r="F9" s="21">
        <f t="shared" ca="1" si="3"/>
        <v>643.34631827310659</v>
      </c>
      <c r="G9" s="21">
        <f t="shared" ca="1" si="3"/>
        <v>649.02532754717686</v>
      </c>
      <c r="H9" s="21">
        <f t="shared" ca="1" si="3"/>
        <v>654.75446712499252</v>
      </c>
      <c r="I9" s="21">
        <f t="shared" ca="1" si="3"/>
        <v>660.53417952160817</v>
      </c>
      <c r="J9" s="21">
        <f t="shared" ca="1" si="3"/>
        <v>666.36491115837998</v>
      </c>
      <c r="K9" s="21">
        <f t="shared" ca="1" si="3"/>
        <v>672.24711239727912</v>
      </c>
      <c r="L9" s="21">
        <f t="shared" ca="1" si="3"/>
        <v>678.18123757580179</v>
      </c>
      <c r="M9" s="21">
        <f t="shared" ca="1" si="3"/>
        <v>684.16774504201021</v>
      </c>
      <c r="N9" s="21">
        <f t="shared" ca="1" si="3"/>
        <v>690.20709718993749</v>
      </c>
      <c r="O9" s="21">
        <f t="shared" ca="1" si="3"/>
        <v>696.29976049528341</v>
      </c>
      <c r="P9" s="21">
        <f t="shared" ca="1" si="3"/>
        <v>702.44620555151778</v>
      </c>
      <c r="Q9" s="21">
        <f t="shared" ca="1" si="3"/>
        <v>708.64690710612922</v>
      </c>
      <c r="R9" s="21">
        <f t="shared" ca="1" si="3"/>
        <v>714.90234409736877</v>
      </c>
      <c r="S9" s="21">
        <f t="shared" ca="1" si="3"/>
        <v>721.21299969121173</v>
      </c>
      <c r="T9" s="21">
        <f t="shared" ca="1" si="3"/>
        <v>727.57936131868337</v>
      </c>
      <c r="U9" s="21">
        <f t="shared" ca="1" si="3"/>
        <v>734.00192071351921</v>
      </c>
      <c r="V9" s="21">
        <f t="shared" ca="1" si="3"/>
        <v>740.4811739501165</v>
      </c>
      <c r="W9" s="21">
        <f t="shared" ca="1" si="3"/>
        <v>747.01762148187845</v>
      </c>
      <c r="X9" s="21">
        <f t="shared" ca="1" si="3"/>
        <v>753.61176817984961</v>
      </c>
      <c r="Y9" s="21">
        <f t="shared" ca="1" si="3"/>
        <v>760.26412337174406</v>
      </c>
      <c r="Z9" s="21">
        <f t="shared" ca="1" si="3"/>
        <v>766.97520088123565</v>
      </c>
      <c r="AA9" s="21">
        <f t="shared" ca="1" si="3"/>
        <v>773.74551906769921</v>
      </c>
      <c r="AB9" s="21">
        <f t="shared" ca="1" si="3"/>
        <v>780.57560086618469</v>
      </c>
      <c r="AC9" s="21">
        <f t="shared" ca="1" si="3"/>
        <v>787.46597382788605</v>
      </c>
      <c r="AD9" s="21">
        <f t="shared" ca="1" si="3"/>
        <v>794.41717016082839</v>
      </c>
      <c r="AE9" s="21">
        <f t="shared" ca="1" si="3"/>
        <v>801.42972677099169</v>
      </c>
    </row>
    <row r="10" spans="1:43">
      <c r="A10" s="20" t="s">
        <v>9</v>
      </c>
      <c r="C10" s="21">
        <f t="shared" ref="C10:AE10" ca="1" si="4">C3-B3</f>
        <v>410.55760145858221</v>
      </c>
      <c r="D10" s="21">
        <f t="shared" ca="1" si="4"/>
        <v>414.18171550105035</v>
      </c>
      <c r="E10" s="21">
        <f t="shared" ca="1" si="4"/>
        <v>417.83782067594439</v>
      </c>
      <c r="F10" s="21">
        <f t="shared" ca="1" si="4"/>
        <v>421.52619937848795</v>
      </c>
      <c r="G10" s="21">
        <f t="shared" ca="1" si="4"/>
        <v>425.24713649671321</v>
      </c>
      <c r="H10" s="21">
        <f t="shared" ca="1" si="4"/>
        <v>429.0009194334416</v>
      </c>
      <c r="I10" s="21">
        <f t="shared" ca="1" si="4"/>
        <v>432.78783812848269</v>
      </c>
      <c r="J10" s="21">
        <f t="shared" ca="1" si="4"/>
        <v>436.60818508101511</v>
      </c>
      <c r="K10" s="21">
        <f t="shared" ca="1" si="4"/>
        <v>440.46225537222199</v>
      </c>
      <c r="L10" s="21">
        <f t="shared" ca="1" si="4"/>
        <v>444.35034668804292</v>
      </c>
      <c r="M10" s="21">
        <f t="shared" ca="1" si="4"/>
        <v>448.27275934217323</v>
      </c>
      <c r="N10" s="21">
        <f t="shared" ca="1" si="4"/>
        <v>452.22979629927431</v>
      </c>
      <c r="O10" s="21">
        <f t="shared" ca="1" si="4"/>
        <v>456.22176319835853</v>
      </c>
      <c r="P10" s="21">
        <f t="shared" ca="1" si="4"/>
        <v>460.24896837642882</v>
      </c>
      <c r="Q10" s="21">
        <f t="shared" ca="1" si="4"/>
        <v>464.31172289224196</v>
      </c>
      <c r="R10" s="21">
        <f t="shared" ca="1" si="4"/>
        <v>468.41034055037744</v>
      </c>
      <c r="S10" s="21">
        <f t="shared" ca="1" si="4"/>
        <v>472.54513792545185</v>
      </c>
      <c r="T10" s="21">
        <f t="shared" ca="1" si="4"/>
        <v>476.71643438658793</v>
      </c>
      <c r="U10" s="21">
        <f t="shared" ca="1" si="4"/>
        <v>480.92455212208006</v>
      </c>
      <c r="V10" s="21">
        <f t="shared" ca="1" si="4"/>
        <v>485.16981616425619</v>
      </c>
      <c r="W10" s="21">
        <f t="shared" ca="1" si="4"/>
        <v>489.45255441462359</v>
      </c>
      <c r="X10" s="21">
        <f t="shared" ca="1" si="4"/>
        <v>493.77309766915278</v>
      </c>
      <c r="Y10" s="21">
        <f t="shared" ca="1" si="4"/>
        <v>498.13177964386705</v>
      </c>
      <c r="Z10" s="21">
        <f t="shared" ca="1" si="4"/>
        <v>502.52893700058485</v>
      </c>
      <c r="AA10" s="21">
        <f t="shared" ca="1" si="4"/>
        <v>506.96490937294584</v>
      </c>
      <c r="AB10" s="21">
        <f t="shared" ca="1" si="4"/>
        <v>511.44003939263348</v>
      </c>
      <c r="AC10" s="21">
        <f t="shared" ca="1" si="4"/>
        <v>515.95467271585221</v>
      </c>
      <c r="AD10" s="21">
        <f t="shared" ca="1" si="4"/>
        <v>520.50915805000841</v>
      </c>
      <c r="AE10" s="21">
        <f t="shared" ca="1" si="4"/>
        <v>525.10384718065325</v>
      </c>
    </row>
    <row r="11" spans="1:43">
      <c r="A11" s="20" t="s">
        <v>10</v>
      </c>
      <c r="C11" s="21">
        <f t="shared" ref="C11:AE11" ca="1" si="5">C4-B4</f>
        <v>2223.5609025373124</v>
      </c>
      <c r="D11" s="21">
        <f t="shared" ca="1" si="5"/>
        <v>2243.188935881597</v>
      </c>
      <c r="E11" s="21">
        <f t="shared" ca="1" si="5"/>
        <v>2262.9902317133383</v>
      </c>
      <c r="F11" s="21">
        <f t="shared" ca="1" si="5"/>
        <v>2282.9663194720342</v>
      </c>
      <c r="G11" s="21">
        <f t="shared" ca="1" si="5"/>
        <v>2303.118742097955</v>
      </c>
      <c r="H11" s="21">
        <f t="shared" ca="1" si="5"/>
        <v>2323.4490561514976</v>
      </c>
      <c r="I11" s="21">
        <f t="shared" ca="1" si="5"/>
        <v>2343.9588319331524</v>
      </c>
      <c r="J11" s="21">
        <f t="shared" ca="1" si="5"/>
        <v>2364.6496536050108</v>
      </c>
      <c r="K11" s="21">
        <f t="shared" ca="1" si="5"/>
        <v>2385.5231193128857</v>
      </c>
      <c r="L11" s="21">
        <f t="shared" ca="1" si="5"/>
        <v>2406.5808413100895</v>
      </c>
      <c r="M11" s="21">
        <f t="shared" ca="1" si="5"/>
        <v>2427.8244460815913</v>
      </c>
      <c r="N11" s="21">
        <f t="shared" ca="1" si="5"/>
        <v>2449.2555744700367</v>
      </c>
      <c r="O11" s="21">
        <f t="shared" ca="1" si="5"/>
        <v>2470.8758818020578</v>
      </c>
      <c r="P11" s="21">
        <f t="shared" ca="1" si="5"/>
        <v>2492.6870380165637</v>
      </c>
      <c r="Q11" s="21">
        <f t="shared" ca="1" si="5"/>
        <v>2514.6907277932623</v>
      </c>
      <c r="R11" s="21">
        <f t="shared" ca="1" si="5"/>
        <v>2536.8886506832205</v>
      </c>
      <c r="S11" s="21">
        <f t="shared" ca="1" si="5"/>
        <v>2559.2825212399475</v>
      </c>
      <c r="T11" s="21">
        <f t="shared" ca="1" si="5"/>
        <v>2581.8740691516432</v>
      </c>
      <c r="U11" s="21">
        <f t="shared" ca="1" si="5"/>
        <v>2604.6650393752498</v>
      </c>
      <c r="V11" s="21">
        <f t="shared" ca="1" si="5"/>
        <v>2627.6571922707371</v>
      </c>
      <c r="W11" s="21">
        <f t="shared" ca="1" si="5"/>
        <v>2650.852303737367</v>
      </c>
      <c r="X11" s="21">
        <f t="shared" ca="1" si="5"/>
        <v>2674.2521653508884</v>
      </c>
      <c r="Y11" s="21">
        <f t="shared" ca="1" si="5"/>
        <v>2697.8585845016642</v>
      </c>
      <c r="Z11" s="21">
        <f t="shared" ca="1" si="5"/>
        <v>2721.6733845344861</v>
      </c>
      <c r="AA11" s="21">
        <f t="shared" ca="1" si="5"/>
        <v>2745.6984048894374</v>
      </c>
      <c r="AB11" s="21">
        <f t="shared" ca="1" si="5"/>
        <v>2769.9355012437445</v>
      </c>
      <c r="AC11" s="21">
        <f t="shared" ca="1" si="5"/>
        <v>2794.3865456553758</v>
      </c>
      <c r="AD11" s="21">
        <f t="shared" ca="1" si="5"/>
        <v>2819.0534267074545</v>
      </c>
      <c r="AE11" s="21">
        <f t="shared" ca="1" si="5"/>
        <v>2843.9380496542435</v>
      </c>
    </row>
    <row r="13" spans="1:43">
      <c r="A13" s="20" t="s">
        <v>346</v>
      </c>
    </row>
    <row r="14" spans="1:43">
      <c r="A14" s="112" t="s">
        <v>347</v>
      </c>
    </row>
    <row r="15" spans="1:43">
      <c r="A15" s="20" t="s">
        <v>348</v>
      </c>
    </row>
    <row r="16" spans="1:43">
      <c r="A16" s="20" t="s">
        <v>349</v>
      </c>
    </row>
    <row r="17" spans="1:2">
      <c r="A17" s="20" t="s">
        <v>2</v>
      </c>
      <c r="B17" s="20" t="s">
        <v>350</v>
      </c>
    </row>
    <row r="18" spans="1:2">
      <c r="A18" s="20">
        <v>2050</v>
      </c>
      <c r="B18" s="20">
        <v>157.66000399999999</v>
      </c>
    </row>
    <row r="19" spans="1:2">
      <c r="A19" s="20">
        <v>2049</v>
      </c>
      <c r="B19" s="20">
        <v>156.658737</v>
      </c>
    </row>
    <row r="20" spans="1:2">
      <c r="A20" s="20">
        <v>2048</v>
      </c>
      <c r="B20" s="20">
        <v>155.64857499999999</v>
      </c>
    </row>
    <row r="21" spans="1:2">
      <c r="A21" s="20">
        <v>2047</v>
      </c>
      <c r="B21" s="20">
        <v>154.62643399999999</v>
      </c>
    </row>
    <row r="22" spans="1:2">
      <c r="A22" s="20">
        <v>2046</v>
      </c>
      <c r="B22" s="20">
        <v>153.59338399999999</v>
      </c>
    </row>
    <row r="23" spans="1:2">
      <c r="A23" s="20">
        <v>2045</v>
      </c>
      <c r="B23" s="20">
        <v>152.55667099999999</v>
      </c>
    </row>
    <row r="24" spans="1:2">
      <c r="A24" s="20">
        <v>2044</v>
      </c>
      <c r="B24" s="20">
        <v>151.50981100000001</v>
      </c>
    </row>
    <row r="25" spans="1:2">
      <c r="A25" s="20">
        <v>2043</v>
      </c>
      <c r="B25" s="20">
        <v>150.45663500000001</v>
      </c>
    </row>
    <row r="26" spans="1:2">
      <c r="A26" s="20">
        <v>2042</v>
      </c>
      <c r="B26" s="20">
        <v>149.39605700000001</v>
      </c>
    </row>
    <row r="27" spans="1:2">
      <c r="A27" s="20">
        <v>2041</v>
      </c>
      <c r="B27" s="20">
        <v>148.32730100000001</v>
      </c>
    </row>
    <row r="28" spans="1:2">
      <c r="A28" s="20">
        <v>2040</v>
      </c>
      <c r="B28" s="20">
        <v>147.24231</v>
      </c>
    </row>
    <row r="29" spans="1:2">
      <c r="A29" s="20">
        <v>2039</v>
      </c>
      <c r="B29" s="20">
        <v>146.15812700000001</v>
      </c>
    </row>
    <row r="30" spans="1:2">
      <c r="A30" s="20">
        <v>2038</v>
      </c>
      <c r="B30" s="20">
        <v>145.085938</v>
      </c>
    </row>
    <row r="31" spans="1:2">
      <c r="A31" s="20">
        <v>2037</v>
      </c>
      <c r="B31" s="20">
        <v>144.00582900000001</v>
      </c>
    </row>
    <row r="32" spans="1:2">
      <c r="A32" s="20">
        <v>2036</v>
      </c>
      <c r="B32" s="20">
        <v>142.92111199999999</v>
      </c>
    </row>
    <row r="33" spans="1:2">
      <c r="A33" s="20">
        <v>2035</v>
      </c>
      <c r="B33" s="20">
        <v>141.82939099999999</v>
      </c>
    </row>
    <row r="34" spans="1:2">
      <c r="A34" s="20">
        <v>2034</v>
      </c>
      <c r="B34" s="20">
        <v>140.73915099999999</v>
      </c>
    </row>
    <row r="35" spans="1:2">
      <c r="A35" s="20">
        <v>2033</v>
      </c>
      <c r="B35" s="20">
        <v>139.63391100000001</v>
      </c>
    </row>
    <row r="36" spans="1:2">
      <c r="A36" s="20">
        <v>2032</v>
      </c>
      <c r="B36" s="20">
        <v>138.49336199999999</v>
      </c>
    </row>
    <row r="37" spans="1:2">
      <c r="A37" s="20">
        <v>2031</v>
      </c>
      <c r="B37" s="20">
        <v>137.32772800000001</v>
      </c>
    </row>
    <row r="38" spans="1:2">
      <c r="A38" s="20">
        <v>2030</v>
      </c>
      <c r="B38" s="20">
        <v>136.153549</v>
      </c>
    </row>
    <row r="39" spans="1:2">
      <c r="A39" s="20">
        <v>2029</v>
      </c>
      <c r="B39" s="20">
        <v>134.95640599999999</v>
      </c>
    </row>
    <row r="40" spans="1:2">
      <c r="A40" s="20">
        <v>2028</v>
      </c>
      <c r="B40" s="20">
        <v>133.72822600000001</v>
      </c>
    </row>
    <row r="41" spans="1:2">
      <c r="A41" s="20">
        <v>2027</v>
      </c>
      <c r="B41" s="20">
        <v>132.49066199999999</v>
      </c>
    </row>
    <row r="42" spans="1:2">
      <c r="A42" s="20">
        <v>2026</v>
      </c>
      <c r="B42" s="20">
        <v>131.26153600000001</v>
      </c>
    </row>
    <row r="43" spans="1:2">
      <c r="A43" s="20">
        <v>2025</v>
      </c>
      <c r="B43" s="20">
        <v>130.03840600000001</v>
      </c>
    </row>
    <row r="44" spans="1:2">
      <c r="A44" s="20">
        <v>2024</v>
      </c>
      <c r="B44" s="20">
        <v>128.81189000000001</v>
      </c>
    </row>
    <row r="45" spans="1:2">
      <c r="A45" s="20">
        <v>2023</v>
      </c>
      <c r="B45" s="20">
        <v>127.612274</v>
      </c>
    </row>
    <row r="46" spans="1:2">
      <c r="A46" s="20">
        <v>2022</v>
      </c>
      <c r="B46" s="20">
        <v>126.41477999999999</v>
      </c>
    </row>
    <row r="47" spans="1:2">
      <c r="A47" s="20">
        <v>2021</v>
      </c>
    </row>
  </sheetData>
  <hyperlinks>
    <hyperlink ref="A14" r:id="rId1" location="/?id=4-AEO2023&amp;region=0-0&amp;cases=ref2023&amp;start=2021&amp;end=2050&amp;f=A&amp;linechart=ref2023-d020623a.7-4-AEO2023&amp;ctype=linechart&amp;sid=ref2023-d020623a.7-4-AEO2023&amp;sourcekey=0" xr:uid="{00000000-0004-0000-0B00-000000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0.59999389629810485"/>
    <outlinePr summaryBelow="0" summaryRight="0"/>
  </sheetPr>
  <dimension ref="A1:AA323"/>
  <sheetViews>
    <sheetView workbookViewId="0"/>
  </sheetViews>
  <sheetFormatPr defaultColWidth="12.5546875" defaultRowHeight="15.75" customHeight="1"/>
  <cols>
    <col min="3" max="3" width="19.44140625" customWidth="1"/>
    <col min="11" max="11" width="23" customWidth="1"/>
  </cols>
  <sheetData>
    <row r="1" spans="1:27">
      <c r="J1" s="20" t="s">
        <v>351</v>
      </c>
    </row>
    <row r="2" spans="1:27">
      <c r="B2" s="20" t="s">
        <v>352</v>
      </c>
      <c r="C2" s="20" t="s">
        <v>353</v>
      </c>
      <c r="D2" s="20" t="s">
        <v>354</v>
      </c>
      <c r="E2" s="20" t="s">
        <v>355</v>
      </c>
      <c r="F2" s="20" t="s">
        <v>356</v>
      </c>
      <c r="G2" s="20" t="s">
        <v>357</v>
      </c>
      <c r="H2" s="20" t="s">
        <v>358</v>
      </c>
      <c r="J2" s="20" t="s">
        <v>359</v>
      </c>
      <c r="K2" s="20" t="s">
        <v>360</v>
      </c>
      <c r="L2" s="20" t="s">
        <v>361</v>
      </c>
      <c r="M2" s="20" t="s">
        <v>283</v>
      </c>
      <c r="N2" s="20" t="s">
        <v>362</v>
      </c>
      <c r="O2" s="20" t="s">
        <v>363</v>
      </c>
      <c r="P2" s="20" t="s">
        <v>282</v>
      </c>
      <c r="Q2" s="20" t="s">
        <v>364</v>
      </c>
      <c r="R2" s="20" t="s">
        <v>286</v>
      </c>
      <c r="S2" s="20" t="s">
        <v>365</v>
      </c>
    </row>
    <row r="3" spans="1:27">
      <c r="A3" s="20" t="str">
        <f t="shared" ref="A3:A14" si="0">B3&amp;C3</f>
        <v>GreeneMobile Home</v>
      </c>
      <c r="B3" s="20" t="s">
        <v>5</v>
      </c>
      <c r="C3" s="20" t="s">
        <v>366</v>
      </c>
      <c r="D3" s="21">
        <f t="shared" ref="D3:D5" ca="1" si="1">VLOOKUP(C3,$F$18:$G$21,2,FALSE)*G3</f>
        <v>762261</v>
      </c>
      <c r="G3" s="21">
        <f ca="1">SUMIF(Census_data!$E$1:$M$1,C3,OFFSET(Census_data!$E$3:$M$3,MATCH(B3,Census_data!$A$3:$A$5)-1,0))</f>
        <v>817</v>
      </c>
      <c r="J3" s="20" t="s">
        <v>367</v>
      </c>
      <c r="K3" s="20" t="s">
        <v>368</v>
      </c>
      <c r="L3" s="20" t="s">
        <v>369</v>
      </c>
      <c r="M3" s="20">
        <v>249212.8082</v>
      </c>
      <c r="N3" s="20">
        <v>0</v>
      </c>
      <c r="O3" s="20">
        <v>0</v>
      </c>
      <c r="P3" s="20">
        <v>0</v>
      </c>
      <c r="Q3" s="20">
        <v>0</v>
      </c>
      <c r="R3" s="20">
        <v>0</v>
      </c>
      <c r="S3" s="20">
        <f t="shared" ref="S3:S107" si="2">M3+O3</f>
        <v>249212.8082</v>
      </c>
      <c r="T3" s="20" t="str">
        <f t="shared" ref="T3:T107" ca="1" si="3">VLOOKUP(K3,$W$3:$X$7,2,FALSE)</f>
        <v>Mobile Home</v>
      </c>
      <c r="U3" s="20" t="str">
        <f t="shared" ref="U3:U107" ca="1" si="4">MID(J3,5,FIND(" County",J3)-5)&amp;T3&amp;L3</f>
        <v>GreeneMobile Homelighting</v>
      </c>
      <c r="V3" s="20" t="str">
        <f t="shared" ref="V3:V107" si="5">MID(J3,5,FIND(" County",J3)-5)&amp;K3</f>
        <v>Greenemobile_home</v>
      </c>
      <c r="W3" s="20" t="str">
        <f ca="1">IFERROR(__xludf.DUMMYFUNCTION("UNIQUE(K3:K282)"),"mobile_home")</f>
        <v>mobile_home</v>
      </c>
      <c r="X3" s="20" t="s">
        <v>366</v>
      </c>
      <c r="Z3" s="20" t="str">
        <f t="array" ref="Z3:Z11">TRANSPOSE(Census_data!E2:M2)</f>
        <v>1, detached</v>
      </c>
      <c r="AA3" s="20" t="s">
        <v>370</v>
      </c>
    </row>
    <row r="4" spans="1:27">
      <c r="A4" s="20" t="str">
        <f t="shared" si="0"/>
        <v>GreeneMulti-Family Apartment</v>
      </c>
      <c r="B4" s="20" t="s">
        <v>5</v>
      </c>
      <c r="C4" s="20" t="s">
        <v>371</v>
      </c>
      <c r="D4" s="21">
        <f t="shared" ca="1" si="1"/>
        <v>100924200</v>
      </c>
      <c r="G4" s="21">
        <f ca="1">SUMIF(Census_data!$E$1:$M$1,C4,OFFSET(Census_data!$E$3:$M$3,MATCH(B4,Census_data!$A$3:$A$5)-1,0))</f>
        <v>14755</v>
      </c>
      <c r="J4" s="20" t="s">
        <v>367</v>
      </c>
      <c r="K4" s="20" t="s">
        <v>368</v>
      </c>
      <c r="L4" s="20" t="s">
        <v>372</v>
      </c>
      <c r="M4" s="20">
        <v>629521.35129999998</v>
      </c>
      <c r="N4" s="20">
        <v>0</v>
      </c>
      <c r="O4" s="20">
        <v>323292.47769999999</v>
      </c>
      <c r="P4" s="20">
        <v>0</v>
      </c>
      <c r="Q4" s="20">
        <v>0</v>
      </c>
      <c r="R4" s="20">
        <v>0</v>
      </c>
      <c r="S4" s="20">
        <f t="shared" si="2"/>
        <v>952813.82899999991</v>
      </c>
      <c r="T4" s="20" t="str">
        <f t="shared" ca="1" si="3"/>
        <v>Mobile Home</v>
      </c>
      <c r="U4" s="20" t="str">
        <f t="shared" ca="1" si="4"/>
        <v>GreeneMobile HomemajorAppliance_NoWatHeat</v>
      </c>
      <c r="V4" s="20" t="str">
        <f t="shared" si="5"/>
        <v>Greenemobile_home</v>
      </c>
      <c r="W4" s="20" t="str">
        <f ca="1">IFERROR(__xludf.DUMMYFUNCTION("""COMPUTED_VALUE"""),"multi-family_with_2_-_4_units")</f>
        <v>multi-family_with_2_-_4_units</v>
      </c>
      <c r="X4" s="20" t="s">
        <v>371</v>
      </c>
      <c r="Z4" s="20" t="str">
        <v>2, attached</v>
      </c>
      <c r="AA4" s="20" t="s">
        <v>373</v>
      </c>
    </row>
    <row r="5" spans="1:27">
      <c r="A5" s="20" t="str">
        <f t="shared" si="0"/>
        <v>GreeneAttached Condo Building</v>
      </c>
      <c r="B5" s="20" t="s">
        <v>5</v>
      </c>
      <c r="C5" s="20" t="s">
        <v>373</v>
      </c>
      <c r="D5" s="21">
        <f t="shared" ca="1" si="1"/>
        <v>15628368</v>
      </c>
      <c r="G5" s="21">
        <f ca="1">SUMIF(Census_data!$E$1:$M$1,C5,OFFSET(Census_data!$E$3:$M$3,MATCH(B5,Census_data!$A$3:$A$5)-1,0))</f>
        <v>3856</v>
      </c>
      <c r="J5" s="20" t="s">
        <v>367</v>
      </c>
      <c r="K5" s="20" t="s">
        <v>368</v>
      </c>
      <c r="L5" s="20" t="s">
        <v>374</v>
      </c>
      <c r="M5" s="20">
        <v>844965.951</v>
      </c>
      <c r="N5" s="20">
        <v>0</v>
      </c>
      <c r="O5" s="20">
        <v>0</v>
      </c>
      <c r="P5" s="20">
        <v>0</v>
      </c>
      <c r="Q5" s="20">
        <v>0</v>
      </c>
      <c r="R5" s="20">
        <v>0</v>
      </c>
      <c r="S5" s="20">
        <f t="shared" si="2"/>
        <v>844965.951</v>
      </c>
      <c r="T5" s="20" t="str">
        <f t="shared" ca="1" si="3"/>
        <v>Mobile Home</v>
      </c>
      <c r="U5" s="20" t="str">
        <f t="shared" ca="1" si="4"/>
        <v>GreeneMobile HomeplugLoad</v>
      </c>
      <c r="V5" s="20" t="str">
        <f t="shared" si="5"/>
        <v>Greenemobile_home</v>
      </c>
      <c r="W5" s="20" t="str">
        <f ca="1">IFERROR(__xludf.DUMMYFUNCTION("""COMPUTED_VALUE"""),"multi-family_with_5plus_units")</f>
        <v>multi-family_with_5plus_units</v>
      </c>
      <c r="X5" s="20" t="s">
        <v>371</v>
      </c>
      <c r="Z5" s="20" t="str">
        <v>2 apts</v>
      </c>
      <c r="AA5" s="20" t="s">
        <v>371</v>
      </c>
    </row>
    <row r="6" spans="1:27">
      <c r="A6" s="20" t="str">
        <f t="shared" si="0"/>
        <v>GreeneSingle-Family Housing</v>
      </c>
      <c r="B6" s="20" t="s">
        <v>5</v>
      </c>
      <c r="C6" s="20" t="s">
        <v>370</v>
      </c>
      <c r="D6" s="21">
        <f ca="1">SUMIF('Replica Building Area'!$A$2:$A$4,B6,'Replica Building Area'!$G$2:$G$4)-SUMIFS($D$3:$D$14,$B$3:$B$14,B6,$C$3:$C$14,"Mobile Home")</f>
        <v>119615032</v>
      </c>
      <c r="G6" s="21">
        <f ca="1">SUMIF(Census_data!$E$1:$M$1,C6,OFFSET(Census_data!$E$3:$M$3,MATCH(B6,Census_data!$A$3:$A$5)-1,0))</f>
        <v>51557</v>
      </c>
      <c r="J6" s="20" t="s">
        <v>367</v>
      </c>
      <c r="K6" s="20" t="s">
        <v>368</v>
      </c>
      <c r="L6" s="20" t="s">
        <v>375</v>
      </c>
      <c r="M6" s="20">
        <v>640641.83570000005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f t="shared" si="2"/>
        <v>640641.83570000005</v>
      </c>
      <c r="T6" s="20" t="str">
        <f t="shared" ca="1" si="3"/>
        <v>Mobile Home</v>
      </c>
      <c r="U6" s="20" t="str">
        <f t="shared" ca="1" si="4"/>
        <v>GreeneMobile HomespaceCondDistribution</v>
      </c>
      <c r="V6" s="20" t="str">
        <f t="shared" si="5"/>
        <v>Greenemobile_home</v>
      </c>
      <c r="W6" s="20" t="str">
        <f ca="1">IFERROR(__xludf.DUMMYFUNCTION("""COMPUTED_VALUE"""),"single-family_attached")</f>
        <v>single-family_attached</v>
      </c>
      <c r="X6" s="20" t="s">
        <v>373</v>
      </c>
      <c r="Z6" s="20" t="str">
        <v>3 or 4 apts</v>
      </c>
      <c r="AA6" s="20" t="s">
        <v>371</v>
      </c>
    </row>
    <row r="7" spans="1:27">
      <c r="A7" s="20" t="str">
        <f t="shared" si="0"/>
        <v>MiamiMobile Home</v>
      </c>
      <c r="B7" s="20" t="s">
        <v>9</v>
      </c>
      <c r="C7" s="20" t="s">
        <v>366</v>
      </c>
      <c r="D7" s="21">
        <f t="shared" ref="D7:D9" ca="1" si="6">VLOOKUP(C7,$F$18:$G$21,2,FALSE)*G7</f>
        <v>739869</v>
      </c>
      <c r="G7" s="21">
        <f ca="1">SUMIF(Census_data!$E$1:$M$1,C7,OFFSET(Census_data!$E$3:$M$3,MATCH(B7,Census_data!$A$3:$A$5)-1,0))</f>
        <v>793</v>
      </c>
      <c r="J7" s="20" t="s">
        <v>367</v>
      </c>
      <c r="K7" s="20" t="s">
        <v>368</v>
      </c>
      <c r="L7" s="20" t="s">
        <v>376</v>
      </c>
      <c r="M7" s="20">
        <v>1014388.091</v>
      </c>
      <c r="N7" s="20">
        <v>0</v>
      </c>
      <c r="O7" s="20">
        <v>0</v>
      </c>
      <c r="P7" s="20">
        <v>0</v>
      </c>
      <c r="Q7" s="20">
        <v>0</v>
      </c>
      <c r="R7" s="20">
        <v>0</v>
      </c>
      <c r="S7" s="20">
        <f t="shared" si="2"/>
        <v>1014388.091</v>
      </c>
      <c r="T7" s="20" t="str">
        <f t="shared" ca="1" si="3"/>
        <v>Mobile Home</v>
      </c>
      <c r="U7" s="20" t="str">
        <f t="shared" ca="1" si="4"/>
        <v>GreeneMobile HomespaceCooling</v>
      </c>
      <c r="V7" s="20" t="str">
        <f t="shared" si="5"/>
        <v>Greenemobile_home</v>
      </c>
      <c r="W7" s="20" t="str">
        <f ca="1">IFERROR(__xludf.DUMMYFUNCTION("""COMPUTED_VALUE"""),"single-family_detached")</f>
        <v>single-family_detached</v>
      </c>
      <c r="X7" s="20" t="s">
        <v>370</v>
      </c>
      <c r="Z7" s="20" t="str">
        <v>5 to 9 apts</v>
      </c>
      <c r="AA7" s="20" t="s">
        <v>371</v>
      </c>
    </row>
    <row r="8" spans="1:27">
      <c r="A8" s="20" t="str">
        <f t="shared" si="0"/>
        <v>MiamiMulti-Family Apartment</v>
      </c>
      <c r="B8" s="20" t="s">
        <v>9</v>
      </c>
      <c r="C8" s="20" t="s">
        <v>371</v>
      </c>
      <c r="D8" s="21">
        <f t="shared" ca="1" si="6"/>
        <v>48228840</v>
      </c>
      <c r="G8" s="21">
        <f ca="1">SUMIF(Census_data!$E$1:$M$1,C8,OFFSET(Census_data!$E$3:$M$3,MATCH(B8,Census_data!$A$3:$A$5)-1,0))</f>
        <v>7051</v>
      </c>
      <c r="J8" s="20" t="s">
        <v>367</v>
      </c>
      <c r="K8" s="20" t="s">
        <v>368</v>
      </c>
      <c r="L8" s="20" t="s">
        <v>377</v>
      </c>
      <c r="M8" s="20">
        <v>74533.246599999999</v>
      </c>
      <c r="N8" s="20">
        <v>0</v>
      </c>
      <c r="O8" s="20">
        <v>15375298.449999999</v>
      </c>
      <c r="P8" s="20">
        <v>0</v>
      </c>
      <c r="Q8" s="20">
        <v>0</v>
      </c>
      <c r="R8" s="20">
        <v>0</v>
      </c>
      <c r="S8" s="20">
        <f t="shared" si="2"/>
        <v>15449831.696599999</v>
      </c>
      <c r="T8" s="20" t="str">
        <f t="shared" ca="1" si="3"/>
        <v>Mobile Home</v>
      </c>
      <c r="U8" s="20" t="str">
        <f t="shared" ca="1" si="4"/>
        <v>GreeneMobile HomespaceHeating</v>
      </c>
      <c r="V8" s="20" t="str">
        <f t="shared" si="5"/>
        <v>Greenemobile_home</v>
      </c>
      <c r="W8" s="20"/>
      <c r="Z8" s="20" t="str">
        <v>10 to 19 apts</v>
      </c>
      <c r="AA8" s="20" t="s">
        <v>371</v>
      </c>
    </row>
    <row r="9" spans="1:27">
      <c r="A9" s="20" t="str">
        <f t="shared" si="0"/>
        <v>MiamiAttached Condo Building</v>
      </c>
      <c r="B9" s="20" t="s">
        <v>9</v>
      </c>
      <c r="C9" s="20" t="s">
        <v>373</v>
      </c>
      <c r="D9" s="21">
        <f t="shared" ca="1" si="6"/>
        <v>7145439</v>
      </c>
      <c r="G9" s="21">
        <f ca="1">SUMIF(Census_data!$E$1:$M$1,C9,OFFSET(Census_data!$E$3:$M$3,MATCH(B9,Census_data!$A$3:$A$5)-1,0))</f>
        <v>1763</v>
      </c>
      <c r="J9" s="20" t="s">
        <v>367</v>
      </c>
      <c r="K9" s="20" t="s">
        <v>368</v>
      </c>
      <c r="L9" s="20" t="s">
        <v>378</v>
      </c>
      <c r="M9" s="20">
        <v>0</v>
      </c>
      <c r="N9" s="20">
        <v>0</v>
      </c>
      <c r="O9" s="20">
        <v>2133778.895</v>
      </c>
      <c r="P9" s="20">
        <v>0</v>
      </c>
      <c r="Q9" s="20">
        <v>0</v>
      </c>
      <c r="R9" s="20">
        <v>0</v>
      </c>
      <c r="S9" s="20">
        <f t="shared" si="2"/>
        <v>2133778.895</v>
      </c>
      <c r="T9" s="20" t="str">
        <f t="shared" ca="1" si="3"/>
        <v>Mobile Home</v>
      </c>
      <c r="U9" s="20" t="str">
        <f t="shared" ca="1" si="4"/>
        <v>GreeneMobile HomewaterHeating</v>
      </c>
      <c r="V9" s="20" t="str">
        <f t="shared" si="5"/>
        <v>Greenemobile_home</v>
      </c>
      <c r="Z9" s="20" t="str">
        <v>20 to 49 apts</v>
      </c>
      <c r="AA9" s="20" t="s">
        <v>371</v>
      </c>
    </row>
    <row r="10" spans="1:27">
      <c r="A10" s="20" t="str">
        <f t="shared" si="0"/>
        <v>MiamiSingle-Family Housing</v>
      </c>
      <c r="B10" s="20" t="s">
        <v>9</v>
      </c>
      <c r="C10" s="20" t="s">
        <v>370</v>
      </c>
      <c r="D10" s="21">
        <f ca="1">SUMIF('Replica Building Area'!$A$2:$A$4,B10,'Replica Building Area'!$G$2:$G$4)-SUMIFS($D$3:$D$14,$B$3:$B$14,B10,$C$3:$C$14,"Mobile Home")</f>
        <v>83550197</v>
      </c>
      <c r="G10" s="21">
        <f ca="1">SUMIF(Census_data!$E$1:$M$1,C10,OFFSET(Census_data!$E$3:$M$3,MATCH(B10,Census_data!$A$3:$A$5)-1,0))</f>
        <v>36903</v>
      </c>
      <c r="J10" s="20" t="s">
        <v>367</v>
      </c>
      <c r="K10" s="20" t="s">
        <v>379</v>
      </c>
      <c r="L10" s="20" t="s">
        <v>369</v>
      </c>
      <c r="M10" s="20">
        <v>3014764.179</v>
      </c>
      <c r="N10" s="20">
        <v>0</v>
      </c>
      <c r="O10" s="20">
        <v>0</v>
      </c>
      <c r="P10" s="20">
        <v>0</v>
      </c>
      <c r="Q10" s="20">
        <v>0</v>
      </c>
      <c r="R10" s="20">
        <v>0</v>
      </c>
      <c r="S10" s="20">
        <f t="shared" si="2"/>
        <v>3014764.179</v>
      </c>
      <c r="T10" s="20" t="str">
        <f t="shared" ca="1" si="3"/>
        <v>Multi-Family Apartment</v>
      </c>
      <c r="U10" s="20" t="str">
        <f t="shared" ca="1" si="4"/>
        <v>GreeneMulti-Family Apartmentlighting</v>
      </c>
      <c r="V10" s="20" t="str">
        <f t="shared" si="5"/>
        <v>Greenemulti-family_with_2_-_4_units</v>
      </c>
      <c r="Z10" s="20" t="str">
        <v>50 or more apts</v>
      </c>
      <c r="AA10" s="20" t="s">
        <v>371</v>
      </c>
    </row>
    <row r="11" spans="1:27">
      <c r="A11" s="20" t="str">
        <f t="shared" si="0"/>
        <v>MontgomeryMobile Home</v>
      </c>
      <c r="B11" s="20" t="s">
        <v>10</v>
      </c>
      <c r="C11" s="20" t="s">
        <v>366</v>
      </c>
      <c r="D11" s="21">
        <f t="shared" ref="D11:D13" ca="1" si="7">VLOOKUP(C11,$F$18:$G$21,2,FALSE)*G11</f>
        <v>3293490</v>
      </c>
      <c r="G11" s="21">
        <f ca="1">SUMIF(Census_data!$E$1:$M$1,C11,OFFSET(Census_data!$E$3:$M$3,MATCH(B11,Census_data!$A$3:$A$5)-1,0))</f>
        <v>3530</v>
      </c>
      <c r="J11" s="20" t="s">
        <v>367</v>
      </c>
      <c r="K11" s="20" t="s">
        <v>379</v>
      </c>
      <c r="L11" s="20" t="s">
        <v>372</v>
      </c>
      <c r="M11" s="20">
        <v>4878349.0180000002</v>
      </c>
      <c r="N11" s="20">
        <v>0</v>
      </c>
      <c r="O11" s="20">
        <v>297426.6985</v>
      </c>
      <c r="P11" s="20">
        <v>0</v>
      </c>
      <c r="Q11" s="20">
        <v>0</v>
      </c>
      <c r="R11" s="20">
        <v>0</v>
      </c>
      <c r="S11" s="20">
        <f t="shared" si="2"/>
        <v>5175775.7165000001</v>
      </c>
      <c r="T11" s="20" t="str">
        <f t="shared" ca="1" si="3"/>
        <v>Multi-Family Apartment</v>
      </c>
      <c r="U11" s="20" t="str">
        <f t="shared" ca="1" si="4"/>
        <v>GreeneMulti-Family ApartmentmajorAppliance_NoWatHeat</v>
      </c>
      <c r="V11" s="20" t="str">
        <f t="shared" si="5"/>
        <v>Greenemulti-family_with_2_-_4_units</v>
      </c>
      <c r="Z11" s="20" t="str">
        <v>mobile home</v>
      </c>
      <c r="AA11" s="20" t="s">
        <v>366</v>
      </c>
    </row>
    <row r="12" spans="1:27">
      <c r="A12" s="20" t="str">
        <f t="shared" si="0"/>
        <v>MontgomeryMulti-Family Apartment</v>
      </c>
      <c r="B12" s="20" t="s">
        <v>10</v>
      </c>
      <c r="C12" s="20" t="s">
        <v>371</v>
      </c>
      <c r="D12" s="21">
        <f t="shared" ca="1" si="7"/>
        <v>416877480</v>
      </c>
      <c r="G12" s="21">
        <f ca="1">SUMIF(Census_data!$E$1:$M$1,C12,OFFSET(Census_data!$E$3:$M$3,MATCH(B12,Census_data!$A$3:$A$5)-1,0))</f>
        <v>60947</v>
      </c>
      <c r="J12" s="20" t="s">
        <v>367</v>
      </c>
      <c r="K12" s="20" t="s">
        <v>379</v>
      </c>
      <c r="L12" s="20" t="s">
        <v>374</v>
      </c>
      <c r="M12" s="20">
        <v>5640874.7640000004</v>
      </c>
      <c r="N12" s="20">
        <v>0</v>
      </c>
      <c r="O12" s="20">
        <v>0</v>
      </c>
      <c r="P12" s="20">
        <v>0</v>
      </c>
      <c r="Q12" s="20">
        <v>0</v>
      </c>
      <c r="R12" s="20">
        <v>0</v>
      </c>
      <c r="S12" s="20">
        <f t="shared" si="2"/>
        <v>5640874.7640000004</v>
      </c>
      <c r="T12" s="20" t="str">
        <f t="shared" ca="1" si="3"/>
        <v>Multi-Family Apartment</v>
      </c>
      <c r="U12" s="20" t="str">
        <f t="shared" ca="1" si="4"/>
        <v>GreeneMulti-Family ApartmentplugLoad</v>
      </c>
      <c r="V12" s="20" t="str">
        <f t="shared" si="5"/>
        <v>Greenemulti-family_with_2_-_4_units</v>
      </c>
    </row>
    <row r="13" spans="1:27">
      <c r="A13" s="20" t="str">
        <f t="shared" si="0"/>
        <v>MontgomeryAttached Condo Building</v>
      </c>
      <c r="B13" s="20" t="s">
        <v>10</v>
      </c>
      <c r="C13" s="20" t="s">
        <v>373</v>
      </c>
      <c r="D13" s="21">
        <f t="shared" ca="1" si="7"/>
        <v>68467329</v>
      </c>
      <c r="G13" s="21">
        <f ca="1">SUMIF(Census_data!$E$1:$M$1,C13,OFFSET(Census_data!$E$3:$M$3,MATCH(B13,Census_data!$A$3:$A$5)-1,0))</f>
        <v>16893</v>
      </c>
      <c r="J13" s="20" t="s">
        <v>367</v>
      </c>
      <c r="K13" s="20" t="s">
        <v>379</v>
      </c>
      <c r="L13" s="20" t="s">
        <v>375</v>
      </c>
      <c r="M13" s="20">
        <v>2617809.693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f t="shared" si="2"/>
        <v>2617809.693</v>
      </c>
      <c r="T13" s="20" t="str">
        <f t="shared" ca="1" si="3"/>
        <v>Multi-Family Apartment</v>
      </c>
      <c r="U13" s="20" t="str">
        <f t="shared" ca="1" si="4"/>
        <v>GreeneMulti-Family ApartmentspaceCondDistribution</v>
      </c>
      <c r="V13" s="20" t="str">
        <f t="shared" si="5"/>
        <v>Greenemulti-family_with_2_-_4_units</v>
      </c>
    </row>
    <row r="14" spans="1:27">
      <c r="A14" s="20" t="str">
        <f t="shared" si="0"/>
        <v>MontgomerySingle-Family Housing</v>
      </c>
      <c r="B14" s="20" t="s">
        <v>10</v>
      </c>
      <c r="C14" s="20" t="s">
        <v>370</v>
      </c>
      <c r="D14" s="21">
        <f ca="1">SUMIF('Replica Building Area'!$A$2:$A$4,B14,'Replica Building Area'!$G$2:$G$4)-SUMIFS($D$3:$D$14,$B$3:$B$14,B14,$C$3:$C$14,"Mobile Home")</f>
        <v>353090491</v>
      </c>
      <c r="G14" s="21">
        <f ca="1">SUMIF(Census_data!$E$1:$M$1,C14,OFFSET(Census_data!$E$3:$M$3,MATCH(B14,Census_data!$A$3:$A$5)-1,0))</f>
        <v>170526</v>
      </c>
      <c r="J14" s="20" t="s">
        <v>367</v>
      </c>
      <c r="K14" s="20" t="s">
        <v>379</v>
      </c>
      <c r="L14" s="20" t="s">
        <v>376</v>
      </c>
      <c r="M14" s="20">
        <v>2885959.85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f t="shared" si="2"/>
        <v>2885959.85</v>
      </c>
      <c r="T14" s="20" t="str">
        <f t="shared" ca="1" si="3"/>
        <v>Multi-Family Apartment</v>
      </c>
      <c r="U14" s="20" t="str">
        <f t="shared" ca="1" si="4"/>
        <v>GreeneMulti-Family ApartmentspaceCooling</v>
      </c>
      <c r="V14" s="20" t="str">
        <f t="shared" si="5"/>
        <v>Greenemulti-family_with_2_-_4_units</v>
      </c>
    </row>
    <row r="15" spans="1:27">
      <c r="J15" s="20" t="s">
        <v>367</v>
      </c>
      <c r="K15" s="20" t="s">
        <v>379</v>
      </c>
      <c r="L15" s="20" t="s">
        <v>377</v>
      </c>
      <c r="M15" s="20">
        <v>10253931.85</v>
      </c>
      <c r="N15" s="20">
        <v>0</v>
      </c>
      <c r="O15" s="20">
        <v>29051775.960000001</v>
      </c>
      <c r="P15" s="20">
        <v>0</v>
      </c>
      <c r="Q15" s="20">
        <v>0</v>
      </c>
      <c r="R15" s="20">
        <v>0</v>
      </c>
      <c r="S15" s="20">
        <f t="shared" si="2"/>
        <v>39305707.810000002</v>
      </c>
      <c r="T15" s="20" t="str">
        <f t="shared" ca="1" si="3"/>
        <v>Multi-Family Apartment</v>
      </c>
      <c r="U15" s="20" t="str">
        <f t="shared" ca="1" si="4"/>
        <v>GreeneMulti-Family ApartmentspaceHeating</v>
      </c>
      <c r="V15" s="20" t="str">
        <f t="shared" si="5"/>
        <v>Greenemulti-family_with_2_-_4_units</v>
      </c>
    </row>
    <row r="16" spans="1:27">
      <c r="D16" s="20" t="s">
        <v>380</v>
      </c>
      <c r="J16" s="20" t="s">
        <v>367</v>
      </c>
      <c r="K16" s="20" t="s">
        <v>379</v>
      </c>
      <c r="L16" s="20" t="s">
        <v>378</v>
      </c>
      <c r="M16" s="20">
        <v>3673186.3569999998</v>
      </c>
      <c r="N16" s="20">
        <v>0</v>
      </c>
      <c r="O16" s="20">
        <v>7807183.4680000003</v>
      </c>
      <c r="P16" s="20">
        <v>421926.37030000001</v>
      </c>
      <c r="Q16" s="20">
        <v>0</v>
      </c>
      <c r="R16" s="20">
        <v>0</v>
      </c>
      <c r="S16" s="20">
        <f t="shared" si="2"/>
        <v>11480369.824999999</v>
      </c>
      <c r="T16" s="20" t="str">
        <f t="shared" ca="1" si="3"/>
        <v>Multi-Family Apartment</v>
      </c>
      <c r="U16" s="20" t="str">
        <f t="shared" ca="1" si="4"/>
        <v>GreeneMulti-Family ApartmentwaterHeating</v>
      </c>
      <c r="V16" s="20" t="str">
        <f t="shared" si="5"/>
        <v>Greenemulti-family_with_2_-_4_units</v>
      </c>
    </row>
    <row r="17" spans="2:22">
      <c r="B17" s="20" t="str">
        <f t="array" ref="B17:C28">B3:C14</f>
        <v>Greene</v>
      </c>
      <c r="C17" s="20" t="str">
        <v>Mobile Home</v>
      </c>
      <c r="D17" s="21">
        <f t="shared" ref="D17:D28" ca="1" si="8">D3/G3</f>
        <v>933</v>
      </c>
      <c r="F17" s="20" t="s">
        <v>381</v>
      </c>
      <c r="G17" s="20" t="s">
        <v>382</v>
      </c>
      <c r="H17" s="20" t="s">
        <v>383</v>
      </c>
      <c r="J17" s="20" t="s">
        <v>367</v>
      </c>
      <c r="K17" s="20" t="s">
        <v>384</v>
      </c>
      <c r="L17" s="20" t="s">
        <v>369</v>
      </c>
      <c r="M17" s="20">
        <v>7557109.7850000001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f t="shared" si="2"/>
        <v>7557109.7850000001</v>
      </c>
      <c r="T17" s="20" t="str">
        <f t="shared" ca="1" si="3"/>
        <v>Multi-Family Apartment</v>
      </c>
      <c r="U17" s="20" t="str">
        <f t="shared" ca="1" si="4"/>
        <v>GreeneMulti-Family Apartmentlighting</v>
      </c>
      <c r="V17" s="20" t="str">
        <f t="shared" si="5"/>
        <v>Greenemulti-family_with_5plus_units</v>
      </c>
    </row>
    <row r="18" spans="2:22">
      <c r="B18" s="20" t="str">
        <v>Greene</v>
      </c>
      <c r="C18" s="20" t="str">
        <v>Multi-Family Apartment</v>
      </c>
      <c r="D18" s="21">
        <f t="shared" ca="1" si="8"/>
        <v>6840</v>
      </c>
      <c r="F18" s="20" t="s">
        <v>370</v>
      </c>
      <c r="G18" s="21">
        <v>1254</v>
      </c>
      <c r="H18" s="21">
        <f t="shared" ref="H18:H21" ca="1" si="9">AVERAGEIF($C$17:$C$28,F18,$D$17:$D$28)</f>
        <v>2218.2330951996742</v>
      </c>
      <c r="J18" s="20" t="s">
        <v>367</v>
      </c>
      <c r="K18" s="20" t="s">
        <v>384</v>
      </c>
      <c r="L18" s="20" t="s">
        <v>372</v>
      </c>
      <c r="M18" s="20">
        <v>8332769.7390000001</v>
      </c>
      <c r="N18" s="20">
        <v>0</v>
      </c>
      <c r="O18" s="20">
        <v>1413284.7339999999</v>
      </c>
      <c r="P18" s="20">
        <v>320305.9412</v>
      </c>
      <c r="Q18" s="20">
        <v>0</v>
      </c>
      <c r="R18" s="20">
        <v>0</v>
      </c>
      <c r="S18" s="20">
        <f t="shared" si="2"/>
        <v>9746054.4729999993</v>
      </c>
      <c r="T18" s="20" t="str">
        <f t="shared" ca="1" si="3"/>
        <v>Multi-Family Apartment</v>
      </c>
      <c r="U18" s="20" t="str">
        <f t="shared" ca="1" si="4"/>
        <v>GreeneMulti-Family ApartmentmajorAppliance_NoWatHeat</v>
      </c>
      <c r="V18" s="20" t="str">
        <f t="shared" si="5"/>
        <v>Greenemulti-family_with_5plus_units</v>
      </c>
    </row>
    <row r="19" spans="2:22">
      <c r="B19" s="20" t="str">
        <v>Greene</v>
      </c>
      <c r="C19" s="20" t="str">
        <v>Attached Condo Building</v>
      </c>
      <c r="D19" s="21">
        <f t="shared" ca="1" si="8"/>
        <v>4053</v>
      </c>
      <c r="F19" s="20" t="s">
        <v>373</v>
      </c>
      <c r="G19" s="21">
        <v>4053</v>
      </c>
      <c r="H19" s="21">
        <f t="shared" ca="1" si="9"/>
        <v>4053</v>
      </c>
      <c r="J19" s="20" t="s">
        <v>367</v>
      </c>
      <c r="K19" s="20" t="s">
        <v>384</v>
      </c>
      <c r="L19" s="20" t="s">
        <v>374</v>
      </c>
      <c r="M19" s="20">
        <v>12240979.439999999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f t="shared" si="2"/>
        <v>12240979.439999999</v>
      </c>
      <c r="T19" s="20" t="str">
        <f t="shared" ca="1" si="3"/>
        <v>Multi-Family Apartment</v>
      </c>
      <c r="U19" s="20" t="str">
        <f t="shared" ca="1" si="4"/>
        <v>GreeneMulti-Family ApartmentplugLoad</v>
      </c>
      <c r="V19" s="20" t="str">
        <f t="shared" si="5"/>
        <v>Greenemulti-family_with_5plus_units</v>
      </c>
    </row>
    <row r="20" spans="2:22">
      <c r="B20" s="20" t="str">
        <v>Greene</v>
      </c>
      <c r="C20" s="20" t="str">
        <v>Single-Family Housing</v>
      </c>
      <c r="D20" s="21">
        <f t="shared" ca="1" si="8"/>
        <v>2320.0541536551777</v>
      </c>
      <c r="F20" s="20" t="s">
        <v>371</v>
      </c>
      <c r="G20" s="21">
        <v>6840</v>
      </c>
      <c r="H20" s="21">
        <f t="shared" ca="1" si="9"/>
        <v>6840</v>
      </c>
      <c r="J20" s="20" t="s">
        <v>367</v>
      </c>
      <c r="K20" s="20" t="s">
        <v>384</v>
      </c>
      <c r="L20" s="20" t="s">
        <v>375</v>
      </c>
      <c r="M20" s="20">
        <v>2773481.1129999999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f t="shared" si="2"/>
        <v>2773481.1129999999</v>
      </c>
      <c r="T20" s="20" t="str">
        <f t="shared" ca="1" si="3"/>
        <v>Multi-Family Apartment</v>
      </c>
      <c r="U20" s="20" t="str">
        <f t="shared" ca="1" si="4"/>
        <v>GreeneMulti-Family ApartmentspaceCondDistribution</v>
      </c>
      <c r="V20" s="20" t="str">
        <f t="shared" si="5"/>
        <v>Greenemulti-family_with_5plus_units</v>
      </c>
    </row>
    <row r="21" spans="2:22">
      <c r="B21" s="20" t="str">
        <v>Miami</v>
      </c>
      <c r="C21" s="20" t="str">
        <v>Mobile Home</v>
      </c>
      <c r="D21" s="21">
        <f t="shared" ca="1" si="8"/>
        <v>933</v>
      </c>
      <c r="F21" s="20" t="s">
        <v>366</v>
      </c>
      <c r="G21" s="20">
        <v>933</v>
      </c>
      <c r="H21" s="21">
        <f t="shared" ca="1" si="9"/>
        <v>933</v>
      </c>
      <c r="J21" s="20" t="s">
        <v>367</v>
      </c>
      <c r="K21" s="20" t="s">
        <v>384</v>
      </c>
      <c r="L21" s="20" t="s">
        <v>376</v>
      </c>
      <c r="M21" s="20">
        <v>6547728.7379999999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f t="shared" si="2"/>
        <v>6547728.7379999999</v>
      </c>
      <c r="T21" s="20" t="str">
        <f t="shared" ca="1" si="3"/>
        <v>Multi-Family Apartment</v>
      </c>
      <c r="U21" s="20" t="str">
        <f t="shared" ca="1" si="4"/>
        <v>GreeneMulti-Family ApartmentspaceCooling</v>
      </c>
      <c r="V21" s="20" t="str">
        <f t="shared" si="5"/>
        <v>Greenemulti-family_with_5plus_units</v>
      </c>
    </row>
    <row r="22" spans="2:22">
      <c r="B22" s="20" t="str">
        <v>Miami</v>
      </c>
      <c r="C22" s="20" t="str">
        <v>Multi-Family Apartment</v>
      </c>
      <c r="D22" s="21">
        <f t="shared" ca="1" si="8"/>
        <v>6840</v>
      </c>
      <c r="J22" s="20" t="s">
        <v>367</v>
      </c>
      <c r="K22" s="20" t="s">
        <v>384</v>
      </c>
      <c r="L22" s="20" t="s">
        <v>377</v>
      </c>
      <c r="M22" s="20">
        <v>29036428.989999998</v>
      </c>
      <c r="N22" s="20">
        <v>0</v>
      </c>
      <c r="O22" s="20">
        <v>22179331.890000001</v>
      </c>
      <c r="P22" s="20">
        <v>0</v>
      </c>
      <c r="Q22" s="20">
        <v>0</v>
      </c>
      <c r="R22" s="20">
        <v>0</v>
      </c>
      <c r="S22" s="20">
        <f t="shared" si="2"/>
        <v>51215760.879999995</v>
      </c>
      <c r="T22" s="20" t="str">
        <f t="shared" ca="1" si="3"/>
        <v>Multi-Family Apartment</v>
      </c>
      <c r="U22" s="20" t="str">
        <f t="shared" ca="1" si="4"/>
        <v>GreeneMulti-Family ApartmentspaceHeating</v>
      </c>
      <c r="V22" s="20" t="str">
        <f t="shared" si="5"/>
        <v>Greenemulti-family_with_5plus_units</v>
      </c>
    </row>
    <row r="23" spans="2:22">
      <c r="B23" s="20" t="str">
        <v>Miami</v>
      </c>
      <c r="C23" s="20" t="str">
        <v>Attached Condo Building</v>
      </c>
      <c r="D23" s="21">
        <f t="shared" ca="1" si="8"/>
        <v>4053</v>
      </c>
      <c r="J23" s="20" t="s">
        <v>367</v>
      </c>
      <c r="K23" s="20" t="s">
        <v>384</v>
      </c>
      <c r="L23" s="20" t="s">
        <v>378</v>
      </c>
      <c r="M23" s="20">
        <v>7688575.2189999996</v>
      </c>
      <c r="N23" s="20">
        <v>0</v>
      </c>
      <c r="O23" s="20">
        <v>15502632.130000001</v>
      </c>
      <c r="P23" s="20">
        <v>947849.20750000002</v>
      </c>
      <c r="Q23" s="20">
        <v>0</v>
      </c>
      <c r="R23" s="20">
        <v>0</v>
      </c>
      <c r="S23" s="20">
        <f t="shared" si="2"/>
        <v>23191207.348999999</v>
      </c>
      <c r="T23" s="20" t="str">
        <f t="shared" ca="1" si="3"/>
        <v>Multi-Family Apartment</v>
      </c>
      <c r="U23" s="20" t="str">
        <f t="shared" ca="1" si="4"/>
        <v>GreeneMulti-Family ApartmentwaterHeating</v>
      </c>
      <c r="V23" s="20" t="str">
        <f t="shared" si="5"/>
        <v>Greenemulti-family_with_5plus_units</v>
      </c>
    </row>
    <row r="24" spans="2:22">
      <c r="B24" s="20" t="str">
        <v>Miami</v>
      </c>
      <c r="C24" s="20" t="str">
        <v>Single-Family Housing</v>
      </c>
      <c r="D24" s="21">
        <f t="shared" ca="1" si="8"/>
        <v>2264.0489120125735</v>
      </c>
      <c r="J24" s="20" t="s">
        <v>367</v>
      </c>
      <c r="K24" s="20" t="s">
        <v>385</v>
      </c>
      <c r="L24" s="20" t="s">
        <v>369</v>
      </c>
      <c r="M24" s="20">
        <v>5488025.307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f t="shared" si="2"/>
        <v>5488025.307</v>
      </c>
      <c r="T24" s="20" t="str">
        <f t="shared" ca="1" si="3"/>
        <v>Attached Condo Building</v>
      </c>
      <c r="U24" s="20" t="str">
        <f t="shared" ca="1" si="4"/>
        <v>GreeneAttached Condo Buildinglighting</v>
      </c>
      <c r="V24" s="20" t="str">
        <f t="shared" si="5"/>
        <v>Greenesingle-family_attached</v>
      </c>
    </row>
    <row r="25" spans="2:22">
      <c r="B25" s="20" t="str">
        <v>Montgomery</v>
      </c>
      <c r="C25" s="20" t="str">
        <v>Mobile Home</v>
      </c>
      <c r="D25" s="21">
        <f t="shared" ca="1" si="8"/>
        <v>933</v>
      </c>
      <c r="J25" s="20" t="s">
        <v>367</v>
      </c>
      <c r="K25" s="20" t="s">
        <v>385</v>
      </c>
      <c r="L25" s="20" t="s">
        <v>372</v>
      </c>
      <c r="M25" s="20">
        <v>3545746.2930000001</v>
      </c>
      <c r="N25" s="20">
        <v>0</v>
      </c>
      <c r="O25" s="20">
        <v>973886.83</v>
      </c>
      <c r="P25" s="20">
        <v>0</v>
      </c>
      <c r="Q25" s="20">
        <v>0</v>
      </c>
      <c r="R25" s="20">
        <v>0</v>
      </c>
      <c r="S25" s="20">
        <f t="shared" si="2"/>
        <v>4519633.1229999997</v>
      </c>
      <c r="T25" s="20" t="str">
        <f t="shared" ca="1" si="3"/>
        <v>Attached Condo Building</v>
      </c>
      <c r="U25" s="20" t="str">
        <f t="shared" ca="1" si="4"/>
        <v>GreeneAttached Condo BuildingmajorAppliance_NoWatHeat</v>
      </c>
      <c r="V25" s="20" t="str">
        <f t="shared" si="5"/>
        <v>Greenesingle-family_attached</v>
      </c>
    </row>
    <row r="26" spans="2:22">
      <c r="B26" s="20" t="str">
        <v>Montgomery</v>
      </c>
      <c r="C26" s="20" t="str">
        <v>Multi-Family Apartment</v>
      </c>
      <c r="D26" s="21">
        <f t="shared" ca="1" si="8"/>
        <v>6840</v>
      </c>
      <c r="J26" s="20" t="s">
        <v>367</v>
      </c>
      <c r="K26" s="20" t="s">
        <v>385</v>
      </c>
      <c r="L26" s="20" t="s">
        <v>374</v>
      </c>
      <c r="M26" s="20">
        <v>5993913.807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f t="shared" si="2"/>
        <v>5993913.807</v>
      </c>
      <c r="T26" s="20" t="str">
        <f t="shared" ca="1" si="3"/>
        <v>Attached Condo Building</v>
      </c>
      <c r="U26" s="20" t="str">
        <f t="shared" ca="1" si="4"/>
        <v>GreeneAttached Condo BuildingplugLoad</v>
      </c>
      <c r="V26" s="20" t="str">
        <f t="shared" si="5"/>
        <v>Greenesingle-family_attached</v>
      </c>
    </row>
    <row r="27" spans="2:22">
      <c r="B27" s="20" t="str">
        <v>Montgomery</v>
      </c>
      <c r="C27" s="20" t="str">
        <v>Attached Condo Building</v>
      </c>
      <c r="D27" s="21">
        <f t="shared" ca="1" si="8"/>
        <v>4053</v>
      </c>
      <c r="J27" s="20" t="s">
        <v>367</v>
      </c>
      <c r="K27" s="20" t="s">
        <v>385</v>
      </c>
      <c r="L27" s="20" t="s">
        <v>375</v>
      </c>
      <c r="M27" s="20">
        <v>1335272.9550000001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f t="shared" si="2"/>
        <v>1335272.9550000001</v>
      </c>
      <c r="T27" s="20" t="str">
        <f t="shared" ca="1" si="3"/>
        <v>Attached Condo Building</v>
      </c>
      <c r="U27" s="20" t="str">
        <f t="shared" ca="1" si="4"/>
        <v>GreeneAttached Condo BuildingspaceCondDistribution</v>
      </c>
      <c r="V27" s="20" t="str">
        <f t="shared" si="5"/>
        <v>Greenesingle-family_attached</v>
      </c>
    </row>
    <row r="28" spans="2:22">
      <c r="B28" s="20" t="str">
        <v>Montgomery</v>
      </c>
      <c r="C28" s="20" t="str">
        <v>Single-Family Housing</v>
      </c>
      <c r="D28" s="21">
        <f t="shared" ca="1" si="8"/>
        <v>2070.5962199312717</v>
      </c>
      <c r="J28" s="20" t="s">
        <v>367</v>
      </c>
      <c r="K28" s="20" t="s">
        <v>385</v>
      </c>
      <c r="L28" s="20" t="s">
        <v>376</v>
      </c>
      <c r="M28" s="20">
        <v>2769721.503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f t="shared" si="2"/>
        <v>2769721.503</v>
      </c>
      <c r="T28" s="20" t="str">
        <f t="shared" ca="1" si="3"/>
        <v>Attached Condo Building</v>
      </c>
      <c r="U28" s="20" t="str">
        <f t="shared" ca="1" si="4"/>
        <v>GreeneAttached Condo BuildingspaceCooling</v>
      </c>
      <c r="V28" s="20" t="str">
        <f t="shared" si="5"/>
        <v>Greenesingle-family_attached</v>
      </c>
    </row>
    <row r="29" spans="2:22">
      <c r="J29" s="20" t="s">
        <v>367</v>
      </c>
      <c r="K29" s="20" t="s">
        <v>385</v>
      </c>
      <c r="L29" s="20" t="s">
        <v>377</v>
      </c>
      <c r="M29" s="20">
        <v>9335158.4849999994</v>
      </c>
      <c r="N29" s="20">
        <v>0</v>
      </c>
      <c r="O29" s="20">
        <v>19572526.960000001</v>
      </c>
      <c r="P29" s="20">
        <v>0</v>
      </c>
      <c r="Q29" s="20">
        <v>0</v>
      </c>
      <c r="R29" s="20">
        <v>0</v>
      </c>
      <c r="S29" s="20">
        <f t="shared" si="2"/>
        <v>28907685.445</v>
      </c>
      <c r="T29" s="20" t="str">
        <f t="shared" ca="1" si="3"/>
        <v>Attached Condo Building</v>
      </c>
      <c r="U29" s="20" t="str">
        <f t="shared" ca="1" si="4"/>
        <v>GreeneAttached Condo BuildingspaceHeating</v>
      </c>
      <c r="V29" s="20" t="str">
        <f t="shared" si="5"/>
        <v>Greenesingle-family_attached</v>
      </c>
    </row>
    <row r="30" spans="2:22">
      <c r="J30" s="20" t="s">
        <v>367</v>
      </c>
      <c r="K30" s="20" t="s">
        <v>385</v>
      </c>
      <c r="L30" s="20" t="s">
        <v>378</v>
      </c>
      <c r="M30" s="20">
        <v>1167692.2450000001</v>
      </c>
      <c r="N30" s="20">
        <v>0</v>
      </c>
      <c r="O30" s="20">
        <v>9121268.5089999996</v>
      </c>
      <c r="P30" s="20">
        <v>0</v>
      </c>
      <c r="Q30" s="20">
        <v>0</v>
      </c>
      <c r="R30" s="20">
        <v>0</v>
      </c>
      <c r="S30" s="20">
        <f t="shared" si="2"/>
        <v>10288960.754000001</v>
      </c>
      <c r="T30" s="20" t="str">
        <f t="shared" ca="1" si="3"/>
        <v>Attached Condo Building</v>
      </c>
      <c r="U30" s="20" t="str">
        <f t="shared" ca="1" si="4"/>
        <v>GreeneAttached Condo BuildingwaterHeating</v>
      </c>
      <c r="V30" s="20" t="str">
        <f t="shared" si="5"/>
        <v>Greenesingle-family_attached</v>
      </c>
    </row>
    <row r="31" spans="2:22">
      <c r="J31" s="20" t="s">
        <v>367</v>
      </c>
      <c r="K31" s="20" t="s">
        <v>386</v>
      </c>
      <c r="L31" s="20" t="s">
        <v>369</v>
      </c>
      <c r="M31" s="20">
        <v>72544130.859999999</v>
      </c>
      <c r="N31" s="20">
        <v>0</v>
      </c>
      <c r="O31" s="20">
        <v>462160.31760000001</v>
      </c>
      <c r="P31" s="20">
        <v>0</v>
      </c>
      <c r="Q31" s="20">
        <v>0</v>
      </c>
      <c r="R31" s="20">
        <v>0</v>
      </c>
      <c r="S31" s="20">
        <f t="shared" si="2"/>
        <v>73006291.177599996</v>
      </c>
      <c r="T31" s="20" t="str">
        <f t="shared" ca="1" si="3"/>
        <v>Single-Family Housing</v>
      </c>
      <c r="U31" s="20" t="str">
        <f t="shared" ca="1" si="4"/>
        <v>GreeneSingle-Family Housinglighting</v>
      </c>
      <c r="V31" s="20" t="str">
        <f t="shared" si="5"/>
        <v>Greenesingle-family_detached</v>
      </c>
    </row>
    <row r="32" spans="2:22">
      <c r="J32" s="20" t="s">
        <v>367</v>
      </c>
      <c r="K32" s="20" t="s">
        <v>386</v>
      </c>
      <c r="L32" s="20" t="s">
        <v>372</v>
      </c>
      <c r="M32" s="20">
        <v>99435170.450000003</v>
      </c>
      <c r="N32" s="20">
        <v>0</v>
      </c>
      <c r="O32" s="20">
        <v>24763200.48</v>
      </c>
      <c r="P32" s="20">
        <v>2037313.703</v>
      </c>
      <c r="Q32" s="20">
        <v>0</v>
      </c>
      <c r="R32" s="20">
        <v>0</v>
      </c>
      <c r="S32" s="20">
        <f t="shared" si="2"/>
        <v>124198370.93000001</v>
      </c>
      <c r="T32" s="20" t="str">
        <f t="shared" ca="1" si="3"/>
        <v>Single-Family Housing</v>
      </c>
      <c r="U32" s="20" t="str">
        <f t="shared" ca="1" si="4"/>
        <v>GreeneSingle-Family HousingmajorAppliance_NoWatHeat</v>
      </c>
      <c r="V32" s="20" t="str">
        <f t="shared" si="5"/>
        <v>Greenesingle-family_detached</v>
      </c>
    </row>
    <row r="33" spans="2:22">
      <c r="J33" s="20" t="s">
        <v>367</v>
      </c>
      <c r="K33" s="20" t="s">
        <v>386</v>
      </c>
      <c r="L33" s="20" t="s">
        <v>374</v>
      </c>
      <c r="M33" s="20">
        <v>117004879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f t="shared" si="2"/>
        <v>117004879</v>
      </c>
      <c r="T33" s="20" t="str">
        <f t="shared" ca="1" si="3"/>
        <v>Single-Family Housing</v>
      </c>
      <c r="U33" s="20" t="str">
        <f t="shared" ca="1" si="4"/>
        <v>GreeneSingle-Family HousingplugLoad</v>
      </c>
      <c r="V33" s="20" t="str">
        <f t="shared" si="5"/>
        <v>Greenesingle-family_detached</v>
      </c>
    </row>
    <row r="34" spans="2:22">
      <c r="J34" s="20" t="s">
        <v>367</v>
      </c>
      <c r="K34" s="20" t="s">
        <v>386</v>
      </c>
      <c r="L34" s="20" t="s">
        <v>375</v>
      </c>
      <c r="M34" s="20">
        <v>42618048.329999998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f t="shared" si="2"/>
        <v>42618048.329999998</v>
      </c>
      <c r="T34" s="20" t="str">
        <f t="shared" ca="1" si="3"/>
        <v>Single-Family Housing</v>
      </c>
      <c r="U34" s="20" t="str">
        <f t="shared" ca="1" si="4"/>
        <v>GreeneSingle-Family HousingspaceCondDistribution</v>
      </c>
      <c r="V34" s="20" t="str">
        <f t="shared" si="5"/>
        <v>Greenesingle-family_detached</v>
      </c>
    </row>
    <row r="35" spans="2:22">
      <c r="J35" s="20" t="s">
        <v>367</v>
      </c>
      <c r="K35" s="20" t="s">
        <v>386</v>
      </c>
      <c r="L35" s="20" t="s">
        <v>376</v>
      </c>
      <c r="M35" s="20">
        <v>74695261.670000002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f t="shared" si="2"/>
        <v>74695261.670000002</v>
      </c>
      <c r="T35" s="20" t="str">
        <f t="shared" ca="1" si="3"/>
        <v>Single-Family Housing</v>
      </c>
      <c r="U35" s="20" t="str">
        <f t="shared" ca="1" si="4"/>
        <v>GreeneSingle-Family HousingspaceCooling</v>
      </c>
      <c r="V35" s="20" t="str">
        <f t="shared" si="5"/>
        <v>Greenesingle-family_detached</v>
      </c>
    </row>
    <row r="36" spans="2:22">
      <c r="J36" s="20" t="s">
        <v>367</v>
      </c>
      <c r="K36" s="20" t="s">
        <v>386</v>
      </c>
      <c r="L36" s="20" t="s">
        <v>377</v>
      </c>
      <c r="M36" s="20">
        <v>229286706</v>
      </c>
      <c r="N36" s="20">
        <v>58100034.240000002</v>
      </c>
      <c r="O36" s="20">
        <v>952764122.89999998</v>
      </c>
      <c r="P36" s="20">
        <v>89772984.099999994</v>
      </c>
      <c r="Q36" s="20">
        <v>0</v>
      </c>
      <c r="R36" s="20">
        <v>0</v>
      </c>
      <c r="S36" s="20">
        <f t="shared" si="2"/>
        <v>1182050828.9000001</v>
      </c>
      <c r="T36" s="20" t="str">
        <f t="shared" ca="1" si="3"/>
        <v>Single-Family Housing</v>
      </c>
      <c r="U36" s="20" t="str">
        <f t="shared" ca="1" si="4"/>
        <v>GreeneSingle-Family HousingspaceHeating</v>
      </c>
      <c r="V36" s="20" t="str">
        <f t="shared" si="5"/>
        <v>Greenesingle-family_detached</v>
      </c>
    </row>
    <row r="37" spans="2:22">
      <c r="J37" s="20" t="s">
        <v>367</v>
      </c>
      <c r="K37" s="20" t="s">
        <v>386</v>
      </c>
      <c r="L37" s="20" t="s">
        <v>378</v>
      </c>
      <c r="M37" s="20">
        <v>51828547.560000002</v>
      </c>
      <c r="N37" s="20">
        <v>0</v>
      </c>
      <c r="O37" s="20">
        <v>142896451.40000001</v>
      </c>
      <c r="P37" s="20">
        <v>11718569.949999999</v>
      </c>
      <c r="Q37" s="20">
        <v>0</v>
      </c>
      <c r="R37" s="20">
        <v>0</v>
      </c>
      <c r="S37" s="20">
        <f t="shared" si="2"/>
        <v>194724998.96000001</v>
      </c>
      <c r="T37" s="20" t="str">
        <f t="shared" ca="1" si="3"/>
        <v>Single-Family Housing</v>
      </c>
      <c r="U37" s="20" t="str">
        <f t="shared" ca="1" si="4"/>
        <v>GreeneSingle-Family HousingwaterHeating</v>
      </c>
      <c r="V37" s="20" t="str">
        <f t="shared" si="5"/>
        <v>Greenesingle-family_detached</v>
      </c>
    </row>
    <row r="38" spans="2:22">
      <c r="J38" s="20" t="s">
        <v>387</v>
      </c>
      <c r="K38" s="20" t="s">
        <v>368</v>
      </c>
      <c r="L38" s="20" t="s">
        <v>369</v>
      </c>
      <c r="M38" s="20">
        <v>128677.2121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f t="shared" si="2"/>
        <v>128677.2121</v>
      </c>
      <c r="T38" s="20" t="str">
        <f t="shared" ca="1" si="3"/>
        <v>Mobile Home</v>
      </c>
      <c r="U38" s="20" t="str">
        <f t="shared" ca="1" si="4"/>
        <v>MiamiMobile Homelighting</v>
      </c>
      <c r="V38" s="20" t="str">
        <f t="shared" si="5"/>
        <v>Miamimobile_home</v>
      </c>
    </row>
    <row r="39" spans="2:22">
      <c r="D39" s="20" t="s">
        <v>388</v>
      </c>
      <c r="J39" s="20" t="s">
        <v>387</v>
      </c>
      <c r="K39" s="20" t="s">
        <v>368</v>
      </c>
      <c r="L39" s="20" t="s">
        <v>372</v>
      </c>
      <c r="M39" s="20">
        <v>437604.72859999997</v>
      </c>
      <c r="N39" s="20">
        <v>0</v>
      </c>
      <c r="O39" s="20">
        <v>107885.9987</v>
      </c>
      <c r="P39" s="20">
        <v>0</v>
      </c>
      <c r="Q39" s="20">
        <v>0</v>
      </c>
      <c r="R39" s="20">
        <v>0</v>
      </c>
      <c r="S39" s="20">
        <f t="shared" si="2"/>
        <v>545490.72729999991</v>
      </c>
      <c r="T39" s="20" t="str">
        <f t="shared" ca="1" si="3"/>
        <v>Mobile Home</v>
      </c>
      <c r="U39" s="20" t="str">
        <f t="shared" ca="1" si="4"/>
        <v>MiamiMobile HomemajorAppliance_NoWatHeat</v>
      </c>
      <c r="V39" s="20" t="str">
        <f t="shared" si="5"/>
        <v>Miamimobile_home</v>
      </c>
    </row>
    <row r="40" spans="2:22">
      <c r="B40" s="20" t="str">
        <f t="array" ref="B40:C74">B3:C37</f>
        <v>Greene</v>
      </c>
      <c r="C40" s="20" t="str">
        <v>Mobile Home</v>
      </c>
      <c r="D40" s="21" t="e">
        <f t="shared" ref="D40:D74" ca="1" si="10">D3/E3</f>
        <v>#DIV/0!</v>
      </c>
      <c r="E40" s="21"/>
      <c r="F40" s="21" t="s">
        <v>370</v>
      </c>
      <c r="G40" s="21" t="e">
        <f t="shared" ref="G40:G43" ca="1" si="11">AVERAGEIF($C$40:$C$79,"="&amp;F40,$D$40:$D$79)</f>
        <v>#DIV/0!</v>
      </c>
      <c r="J40" s="20" t="s">
        <v>387</v>
      </c>
      <c r="K40" s="20" t="s">
        <v>368</v>
      </c>
      <c r="L40" s="20" t="s">
        <v>374</v>
      </c>
      <c r="M40" s="20">
        <v>439016.31939999998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f t="shared" si="2"/>
        <v>439016.31939999998</v>
      </c>
      <c r="T40" s="20" t="str">
        <f t="shared" ca="1" si="3"/>
        <v>Mobile Home</v>
      </c>
      <c r="U40" s="20" t="str">
        <f t="shared" ca="1" si="4"/>
        <v>MiamiMobile HomeplugLoad</v>
      </c>
      <c r="V40" s="20" t="str">
        <f t="shared" si="5"/>
        <v>Miamimobile_home</v>
      </c>
    </row>
    <row r="41" spans="2:22">
      <c r="B41" s="20" t="str">
        <v>Greene</v>
      </c>
      <c r="C41" s="20" t="str">
        <v>Multi-Family Apartment</v>
      </c>
      <c r="D41" s="21" t="e">
        <f t="shared" ca="1" si="10"/>
        <v>#DIV/0!</v>
      </c>
      <c r="E41" s="21"/>
      <c r="F41" s="21" t="s">
        <v>373</v>
      </c>
      <c r="G41" s="21" t="e">
        <f t="shared" ca="1" si="11"/>
        <v>#DIV/0!</v>
      </c>
      <c r="J41" s="20" t="s">
        <v>387</v>
      </c>
      <c r="K41" s="20" t="s">
        <v>368</v>
      </c>
      <c r="L41" s="20" t="s">
        <v>375</v>
      </c>
      <c r="M41" s="20">
        <v>168064.71729999999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f t="shared" si="2"/>
        <v>168064.71729999999</v>
      </c>
      <c r="T41" s="20" t="str">
        <f t="shared" ca="1" si="3"/>
        <v>Mobile Home</v>
      </c>
      <c r="U41" s="20" t="str">
        <f t="shared" ca="1" si="4"/>
        <v>MiamiMobile HomespaceCondDistribution</v>
      </c>
      <c r="V41" s="20" t="str">
        <f t="shared" si="5"/>
        <v>Miamimobile_home</v>
      </c>
    </row>
    <row r="42" spans="2:22">
      <c r="B42" s="20" t="str">
        <v>Greene</v>
      </c>
      <c r="C42" s="20" t="str">
        <v>Attached Condo Building</v>
      </c>
      <c r="D42" s="21" t="e">
        <f t="shared" ca="1" si="10"/>
        <v>#DIV/0!</v>
      </c>
      <c r="E42" s="21"/>
      <c r="F42" s="21" t="s">
        <v>371</v>
      </c>
      <c r="G42" s="21" t="e">
        <f t="shared" ca="1" si="11"/>
        <v>#DIV/0!</v>
      </c>
      <c r="J42" s="20" t="s">
        <v>387</v>
      </c>
      <c r="K42" s="20" t="s">
        <v>368</v>
      </c>
      <c r="L42" s="20" t="s">
        <v>376</v>
      </c>
      <c r="M42" s="20">
        <v>410966.06479999999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f t="shared" si="2"/>
        <v>410966.06479999999</v>
      </c>
      <c r="T42" s="20" t="str">
        <f t="shared" ca="1" si="3"/>
        <v>Mobile Home</v>
      </c>
      <c r="U42" s="20" t="str">
        <f t="shared" ca="1" si="4"/>
        <v>MiamiMobile HomespaceCooling</v>
      </c>
      <c r="V42" s="20" t="str">
        <f t="shared" si="5"/>
        <v>Miamimobile_home</v>
      </c>
    </row>
    <row r="43" spans="2:22">
      <c r="B43" s="20" t="str">
        <v>Greene</v>
      </c>
      <c r="C43" s="20" t="str">
        <v>Single-Family Housing</v>
      </c>
      <c r="D43" s="21" t="e">
        <f t="shared" ca="1" si="10"/>
        <v>#DIV/0!</v>
      </c>
      <c r="E43" s="21"/>
      <c r="F43" s="21" t="s">
        <v>366</v>
      </c>
      <c r="G43" s="21" t="e">
        <f t="shared" ca="1" si="11"/>
        <v>#DIV/0!</v>
      </c>
      <c r="J43" s="20" t="s">
        <v>387</v>
      </c>
      <c r="K43" s="20" t="s">
        <v>368</v>
      </c>
      <c r="L43" s="20" t="s">
        <v>377</v>
      </c>
      <c r="M43" s="20">
        <v>2319332.682</v>
      </c>
      <c r="N43" s="20">
        <v>0</v>
      </c>
      <c r="O43" s="20">
        <v>7627523.1150000002</v>
      </c>
      <c r="P43" s="20">
        <v>0</v>
      </c>
      <c r="Q43" s="20">
        <v>0</v>
      </c>
      <c r="R43" s="20">
        <v>0</v>
      </c>
      <c r="S43" s="20">
        <f t="shared" si="2"/>
        <v>9946855.7970000003</v>
      </c>
      <c r="T43" s="20" t="str">
        <f t="shared" ca="1" si="3"/>
        <v>Mobile Home</v>
      </c>
      <c r="U43" s="20" t="str">
        <f t="shared" ca="1" si="4"/>
        <v>MiamiMobile HomespaceHeating</v>
      </c>
      <c r="V43" s="20" t="str">
        <f t="shared" si="5"/>
        <v>Miamimobile_home</v>
      </c>
    </row>
    <row r="44" spans="2:22">
      <c r="B44" s="20" t="str">
        <v>Miami</v>
      </c>
      <c r="C44" s="20" t="str">
        <v>Mobile Home</v>
      </c>
      <c r="D44" s="21" t="e">
        <f t="shared" ca="1" si="10"/>
        <v>#DIV/0!</v>
      </c>
      <c r="E44" s="21"/>
      <c r="F44" s="21"/>
      <c r="J44" s="20" t="s">
        <v>387</v>
      </c>
      <c r="K44" s="20" t="s">
        <v>368</v>
      </c>
      <c r="L44" s="20" t="s">
        <v>378</v>
      </c>
      <c r="M44" s="20">
        <v>116201.5223</v>
      </c>
      <c r="N44" s="20">
        <v>0</v>
      </c>
      <c r="O44" s="20">
        <v>894186.39509999997</v>
      </c>
      <c r="P44" s="20">
        <v>0</v>
      </c>
      <c r="Q44" s="20">
        <v>0</v>
      </c>
      <c r="R44" s="20">
        <v>0</v>
      </c>
      <c r="S44" s="20">
        <f t="shared" si="2"/>
        <v>1010387.9173999999</v>
      </c>
      <c r="T44" s="20" t="str">
        <f t="shared" ca="1" si="3"/>
        <v>Mobile Home</v>
      </c>
      <c r="U44" s="20" t="str">
        <f t="shared" ca="1" si="4"/>
        <v>MiamiMobile HomewaterHeating</v>
      </c>
      <c r="V44" s="20" t="str">
        <f t="shared" si="5"/>
        <v>Miamimobile_home</v>
      </c>
    </row>
    <row r="45" spans="2:22">
      <c r="B45" s="20" t="str">
        <v>Miami</v>
      </c>
      <c r="C45" s="20" t="str">
        <v>Multi-Family Apartment</v>
      </c>
      <c r="D45" s="21" t="e">
        <f t="shared" ca="1" si="10"/>
        <v>#DIV/0!</v>
      </c>
      <c r="E45" s="21"/>
      <c r="F45" s="21"/>
      <c r="J45" s="20" t="s">
        <v>387</v>
      </c>
      <c r="K45" s="20" t="s">
        <v>379</v>
      </c>
      <c r="L45" s="20" t="s">
        <v>369</v>
      </c>
      <c r="M45" s="20">
        <v>2598054.8160000001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f t="shared" si="2"/>
        <v>2598054.8160000001</v>
      </c>
      <c r="T45" s="20" t="str">
        <f t="shared" ca="1" si="3"/>
        <v>Multi-Family Apartment</v>
      </c>
      <c r="U45" s="20" t="str">
        <f t="shared" ca="1" si="4"/>
        <v>MiamiMulti-Family Apartmentlighting</v>
      </c>
      <c r="V45" s="20" t="str">
        <f t="shared" si="5"/>
        <v>Miamimulti-family_with_2_-_4_units</v>
      </c>
    </row>
    <row r="46" spans="2:22">
      <c r="B46" s="20" t="str">
        <v>Miami</v>
      </c>
      <c r="C46" s="20" t="str">
        <v>Attached Condo Building</v>
      </c>
      <c r="D46" s="21" t="e">
        <f t="shared" ca="1" si="10"/>
        <v>#DIV/0!</v>
      </c>
      <c r="E46" s="21"/>
      <c r="F46" s="21"/>
      <c r="J46" s="20" t="s">
        <v>387</v>
      </c>
      <c r="K46" s="20" t="s">
        <v>379</v>
      </c>
      <c r="L46" s="20" t="s">
        <v>372</v>
      </c>
      <c r="M46" s="20">
        <v>4293422.3080000002</v>
      </c>
      <c r="N46" s="20">
        <v>0</v>
      </c>
      <c r="O46" s="20">
        <v>366063.62890000001</v>
      </c>
      <c r="P46" s="20">
        <v>0</v>
      </c>
      <c r="Q46" s="20">
        <v>0</v>
      </c>
      <c r="R46" s="20">
        <v>0</v>
      </c>
      <c r="S46" s="20">
        <f t="shared" si="2"/>
        <v>4659485.9369000001</v>
      </c>
      <c r="T46" s="20" t="str">
        <f t="shared" ca="1" si="3"/>
        <v>Multi-Family Apartment</v>
      </c>
      <c r="U46" s="20" t="str">
        <f t="shared" ca="1" si="4"/>
        <v>MiamiMulti-Family ApartmentmajorAppliance_NoWatHeat</v>
      </c>
      <c r="V46" s="20" t="str">
        <f t="shared" si="5"/>
        <v>Miamimulti-family_with_2_-_4_units</v>
      </c>
    </row>
    <row r="47" spans="2:22">
      <c r="B47" s="20" t="str">
        <v>Miami</v>
      </c>
      <c r="C47" s="20" t="str">
        <v>Single-Family Housing</v>
      </c>
      <c r="D47" s="21" t="e">
        <f t="shared" ca="1" si="10"/>
        <v>#DIV/0!</v>
      </c>
      <c r="E47" s="21"/>
      <c r="F47" s="21"/>
      <c r="G47" s="21"/>
      <c r="H47" s="25"/>
      <c r="I47" s="21"/>
      <c r="J47" s="20" t="s">
        <v>387</v>
      </c>
      <c r="K47" s="20" t="s">
        <v>379</v>
      </c>
      <c r="L47" s="20" t="s">
        <v>374</v>
      </c>
      <c r="M47" s="20">
        <v>5517992.7319999998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f t="shared" si="2"/>
        <v>5517992.7319999998</v>
      </c>
      <c r="T47" s="20" t="str">
        <f t="shared" ca="1" si="3"/>
        <v>Multi-Family Apartment</v>
      </c>
      <c r="U47" s="20" t="str">
        <f t="shared" ca="1" si="4"/>
        <v>MiamiMulti-Family ApartmentplugLoad</v>
      </c>
      <c r="V47" s="20" t="str">
        <f t="shared" si="5"/>
        <v>Miamimulti-family_with_2_-_4_units</v>
      </c>
    </row>
    <row r="48" spans="2:22">
      <c r="B48" s="20" t="str">
        <v>Montgomery</v>
      </c>
      <c r="C48" s="20" t="str">
        <v>Mobile Home</v>
      </c>
      <c r="D48" s="21" t="e">
        <f t="shared" ca="1" si="10"/>
        <v>#DIV/0!</v>
      </c>
      <c r="E48" s="21"/>
      <c r="F48" s="21"/>
      <c r="G48" s="21"/>
      <c r="H48" s="25"/>
      <c r="I48" s="21"/>
      <c r="J48" s="20" t="s">
        <v>387</v>
      </c>
      <c r="K48" s="20" t="s">
        <v>379</v>
      </c>
      <c r="L48" s="20" t="s">
        <v>375</v>
      </c>
      <c r="M48" s="20">
        <v>1605039.9820000001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f t="shared" si="2"/>
        <v>1605039.9820000001</v>
      </c>
      <c r="T48" s="20" t="str">
        <f t="shared" ca="1" si="3"/>
        <v>Multi-Family Apartment</v>
      </c>
      <c r="U48" s="20" t="str">
        <f t="shared" ca="1" si="4"/>
        <v>MiamiMulti-Family ApartmentspaceCondDistribution</v>
      </c>
      <c r="V48" s="20" t="str">
        <f t="shared" si="5"/>
        <v>Miamimulti-family_with_2_-_4_units</v>
      </c>
    </row>
    <row r="49" spans="2:22">
      <c r="B49" s="20" t="str">
        <v>Montgomery</v>
      </c>
      <c r="C49" s="20" t="str">
        <v>Multi-Family Apartment</v>
      </c>
      <c r="D49" s="21" t="e">
        <f t="shared" ca="1" si="10"/>
        <v>#DIV/0!</v>
      </c>
      <c r="E49" s="21"/>
      <c r="F49" s="21"/>
      <c r="G49" s="21"/>
      <c r="H49" s="25"/>
      <c r="I49" s="21"/>
      <c r="J49" s="20" t="s">
        <v>387</v>
      </c>
      <c r="K49" s="20" t="s">
        <v>379</v>
      </c>
      <c r="L49" s="20" t="s">
        <v>376</v>
      </c>
      <c r="M49" s="20">
        <v>3267602.9619999998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f t="shared" si="2"/>
        <v>3267602.9619999998</v>
      </c>
      <c r="T49" s="20" t="str">
        <f t="shared" ca="1" si="3"/>
        <v>Multi-Family Apartment</v>
      </c>
      <c r="U49" s="20" t="str">
        <f t="shared" ca="1" si="4"/>
        <v>MiamiMulti-Family ApartmentspaceCooling</v>
      </c>
      <c r="V49" s="20" t="str">
        <f t="shared" si="5"/>
        <v>Miamimulti-family_with_2_-_4_units</v>
      </c>
    </row>
    <row r="50" spans="2:22">
      <c r="B50" s="20" t="str">
        <v>Montgomery</v>
      </c>
      <c r="C50" s="20" t="str">
        <v>Attached Condo Building</v>
      </c>
      <c r="D50" s="21" t="e">
        <f t="shared" ca="1" si="10"/>
        <v>#DIV/0!</v>
      </c>
      <c r="E50" s="21"/>
      <c r="F50" s="21"/>
      <c r="G50" s="21"/>
      <c r="H50" s="25"/>
      <c r="I50" s="21"/>
      <c r="J50" s="20" t="s">
        <v>387</v>
      </c>
      <c r="K50" s="20" t="s">
        <v>379</v>
      </c>
      <c r="L50" s="20" t="s">
        <v>377</v>
      </c>
      <c r="M50" s="20">
        <v>16953448.34</v>
      </c>
      <c r="N50" s="20">
        <v>0</v>
      </c>
      <c r="O50" s="20">
        <v>24641992.559999999</v>
      </c>
      <c r="P50" s="20">
        <v>0</v>
      </c>
      <c r="Q50" s="20">
        <v>0</v>
      </c>
      <c r="R50" s="20">
        <v>0</v>
      </c>
      <c r="S50" s="20">
        <f t="shared" si="2"/>
        <v>41595440.899999999</v>
      </c>
      <c r="T50" s="20" t="str">
        <f t="shared" ca="1" si="3"/>
        <v>Multi-Family Apartment</v>
      </c>
      <c r="U50" s="20" t="str">
        <f t="shared" ca="1" si="4"/>
        <v>MiamiMulti-Family ApartmentspaceHeating</v>
      </c>
      <c r="V50" s="20" t="str">
        <f t="shared" si="5"/>
        <v>Miamimulti-family_with_2_-_4_units</v>
      </c>
    </row>
    <row r="51" spans="2:22">
      <c r="B51" s="20" t="str">
        <v>Montgomery</v>
      </c>
      <c r="C51" s="20" t="str">
        <v>Single-Family Housing</v>
      </c>
      <c r="D51" s="21" t="e">
        <f t="shared" ca="1" si="10"/>
        <v>#DIV/0!</v>
      </c>
      <c r="E51" s="21"/>
      <c r="F51" s="21"/>
      <c r="G51" s="21"/>
      <c r="H51" s="25"/>
      <c r="I51" s="21"/>
      <c r="J51" s="20" t="s">
        <v>387</v>
      </c>
      <c r="K51" s="20" t="s">
        <v>379</v>
      </c>
      <c r="L51" s="20" t="s">
        <v>378</v>
      </c>
      <c r="M51" s="20">
        <v>3449737.693</v>
      </c>
      <c r="N51" s="20">
        <v>0</v>
      </c>
      <c r="O51" s="20">
        <v>7965480.1880000001</v>
      </c>
      <c r="P51" s="20">
        <v>0</v>
      </c>
      <c r="Q51" s="20">
        <v>0</v>
      </c>
      <c r="R51" s="20">
        <v>0</v>
      </c>
      <c r="S51" s="20">
        <f t="shared" si="2"/>
        <v>11415217.881000001</v>
      </c>
      <c r="T51" s="20" t="str">
        <f t="shared" ca="1" si="3"/>
        <v>Multi-Family Apartment</v>
      </c>
      <c r="U51" s="20" t="str">
        <f t="shared" ca="1" si="4"/>
        <v>MiamiMulti-Family ApartmentwaterHeating</v>
      </c>
      <c r="V51" s="20" t="str">
        <f t="shared" si="5"/>
        <v>Miamimulti-family_with_2_-_4_units</v>
      </c>
    </row>
    <row r="52" spans="2:22">
      <c r="B52" s="20">
        <v>0</v>
      </c>
      <c r="C52" s="20">
        <v>0</v>
      </c>
      <c r="D52" s="21" t="e">
        <f t="shared" si="10"/>
        <v>#DIV/0!</v>
      </c>
      <c r="E52" s="21"/>
      <c r="F52" s="21"/>
      <c r="G52" s="21"/>
      <c r="H52" s="25"/>
      <c r="I52" s="21"/>
      <c r="J52" s="20" t="s">
        <v>387</v>
      </c>
      <c r="K52" s="20" t="s">
        <v>384</v>
      </c>
      <c r="L52" s="20" t="s">
        <v>369</v>
      </c>
      <c r="M52" s="20">
        <v>1347506.175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f t="shared" si="2"/>
        <v>1347506.175</v>
      </c>
      <c r="T52" s="20" t="str">
        <f t="shared" ca="1" si="3"/>
        <v>Multi-Family Apartment</v>
      </c>
      <c r="U52" s="20" t="str">
        <f t="shared" ca="1" si="4"/>
        <v>MiamiMulti-Family Apartmentlighting</v>
      </c>
      <c r="V52" s="20" t="str">
        <f t="shared" si="5"/>
        <v>Miamimulti-family_with_5plus_units</v>
      </c>
    </row>
    <row r="53" spans="2:22">
      <c r="B53" s="20">
        <v>0</v>
      </c>
      <c r="C53" s="20">
        <v>0</v>
      </c>
      <c r="D53" s="21" t="e">
        <f t="shared" si="10"/>
        <v>#VALUE!</v>
      </c>
      <c r="E53" s="21"/>
      <c r="F53" s="21"/>
      <c r="G53" s="21"/>
      <c r="H53" s="25"/>
      <c r="I53" s="21"/>
      <c r="J53" s="20" t="s">
        <v>387</v>
      </c>
      <c r="K53" s="20" t="s">
        <v>384</v>
      </c>
      <c r="L53" s="20" t="s">
        <v>372</v>
      </c>
      <c r="M53" s="20">
        <v>2435158.8730000001</v>
      </c>
      <c r="N53" s="20">
        <v>0</v>
      </c>
      <c r="O53" s="20">
        <v>366063.62890000001</v>
      </c>
      <c r="P53" s="20">
        <v>0</v>
      </c>
      <c r="Q53" s="20">
        <v>0</v>
      </c>
      <c r="R53" s="20">
        <v>0</v>
      </c>
      <c r="S53" s="20">
        <f t="shared" si="2"/>
        <v>2801222.5019</v>
      </c>
      <c r="T53" s="20" t="str">
        <f t="shared" ca="1" si="3"/>
        <v>Multi-Family Apartment</v>
      </c>
      <c r="U53" s="20" t="str">
        <f t="shared" ca="1" si="4"/>
        <v>MiamiMulti-Family ApartmentmajorAppliance_NoWatHeat</v>
      </c>
      <c r="V53" s="20" t="str">
        <f t="shared" si="5"/>
        <v>Miamimulti-family_with_5plus_units</v>
      </c>
    </row>
    <row r="54" spans="2:22">
      <c r="B54" s="20" t="str">
        <v>Greene</v>
      </c>
      <c r="C54" s="20" t="str">
        <v>Mobile Home</v>
      </c>
      <c r="D54" s="21" t="e">
        <f t="shared" ca="1" si="10"/>
        <v>#DIV/0!</v>
      </c>
      <c r="E54" s="21"/>
      <c r="F54" s="21"/>
      <c r="G54" s="21"/>
      <c r="H54" s="25"/>
      <c r="I54" s="21"/>
      <c r="J54" s="20" t="s">
        <v>387</v>
      </c>
      <c r="K54" s="20" t="s">
        <v>384</v>
      </c>
      <c r="L54" s="20" t="s">
        <v>374</v>
      </c>
      <c r="M54" s="20">
        <v>3750042.4559999998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f t="shared" si="2"/>
        <v>3750042.4559999998</v>
      </c>
      <c r="T54" s="20" t="str">
        <f t="shared" ca="1" si="3"/>
        <v>Multi-Family Apartment</v>
      </c>
      <c r="U54" s="20" t="str">
        <f t="shared" ca="1" si="4"/>
        <v>MiamiMulti-Family ApartmentplugLoad</v>
      </c>
      <c r="V54" s="20" t="str">
        <f t="shared" si="5"/>
        <v>Miamimulti-family_with_5plus_units</v>
      </c>
    </row>
    <row r="55" spans="2:22">
      <c r="B55" s="20" t="str">
        <v>Greene</v>
      </c>
      <c r="C55" s="20" t="str">
        <v>Multi-Family Apartment</v>
      </c>
      <c r="D55" s="21" t="e">
        <f t="shared" ca="1" si="10"/>
        <v>#DIV/0!</v>
      </c>
      <c r="E55" s="21"/>
      <c r="F55" s="21"/>
      <c r="G55" s="21"/>
      <c r="H55" s="25"/>
      <c r="I55" s="21"/>
      <c r="J55" s="20" t="s">
        <v>387</v>
      </c>
      <c r="K55" s="20" t="s">
        <v>384</v>
      </c>
      <c r="L55" s="20" t="s">
        <v>375</v>
      </c>
      <c r="M55" s="20">
        <v>864658.86620000005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f t="shared" si="2"/>
        <v>864658.86620000005</v>
      </c>
      <c r="T55" s="20" t="str">
        <f t="shared" ca="1" si="3"/>
        <v>Multi-Family Apartment</v>
      </c>
      <c r="U55" s="20" t="str">
        <f t="shared" ca="1" si="4"/>
        <v>MiamiMulti-Family ApartmentspaceCondDistribution</v>
      </c>
      <c r="V55" s="20" t="str">
        <f t="shared" si="5"/>
        <v>Miamimulti-family_with_5plus_units</v>
      </c>
    </row>
    <row r="56" spans="2:22">
      <c r="B56" s="20" t="str">
        <v>Greene</v>
      </c>
      <c r="C56" s="20" t="str">
        <v>Attached Condo Building</v>
      </c>
      <c r="D56" s="21" t="e">
        <f t="shared" ca="1" si="10"/>
        <v>#DIV/0!</v>
      </c>
      <c r="E56" s="21"/>
      <c r="F56" s="21"/>
      <c r="G56" s="21"/>
      <c r="H56" s="25"/>
      <c r="I56" s="21"/>
      <c r="J56" s="20" t="s">
        <v>387</v>
      </c>
      <c r="K56" s="20" t="s">
        <v>384</v>
      </c>
      <c r="L56" s="20" t="s">
        <v>376</v>
      </c>
      <c r="M56" s="20">
        <v>3121399.807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f t="shared" si="2"/>
        <v>3121399.807</v>
      </c>
      <c r="T56" s="20" t="str">
        <f t="shared" ca="1" si="3"/>
        <v>Multi-Family Apartment</v>
      </c>
      <c r="U56" s="20" t="str">
        <f t="shared" ca="1" si="4"/>
        <v>MiamiMulti-Family ApartmentspaceCooling</v>
      </c>
      <c r="V56" s="20" t="str">
        <f t="shared" si="5"/>
        <v>Miamimulti-family_with_5plus_units</v>
      </c>
    </row>
    <row r="57" spans="2:22">
      <c r="B57" s="20" t="str">
        <v>Greene</v>
      </c>
      <c r="C57" s="20" t="str">
        <v>Single-Family Housing</v>
      </c>
      <c r="D57" s="21" t="e">
        <f t="shared" ca="1" si="10"/>
        <v>#DIV/0!</v>
      </c>
      <c r="E57" s="21"/>
      <c r="F57" s="21"/>
      <c r="G57" s="21"/>
      <c r="H57" s="25"/>
      <c r="I57" s="21"/>
      <c r="J57" s="20" t="s">
        <v>387</v>
      </c>
      <c r="K57" s="20" t="s">
        <v>384</v>
      </c>
      <c r="L57" s="20" t="s">
        <v>377</v>
      </c>
      <c r="M57" s="20">
        <v>17492740.530000001</v>
      </c>
      <c r="N57" s="20">
        <v>0</v>
      </c>
      <c r="O57" s="20">
        <v>2320233.3080000002</v>
      </c>
      <c r="P57" s="20">
        <v>0</v>
      </c>
      <c r="Q57" s="20">
        <v>0</v>
      </c>
      <c r="R57" s="20">
        <v>0</v>
      </c>
      <c r="S57" s="20">
        <f t="shared" si="2"/>
        <v>19812973.838</v>
      </c>
      <c r="T57" s="20" t="str">
        <f t="shared" ca="1" si="3"/>
        <v>Multi-Family Apartment</v>
      </c>
      <c r="U57" s="20" t="str">
        <f t="shared" ca="1" si="4"/>
        <v>MiamiMulti-Family ApartmentspaceHeating</v>
      </c>
      <c r="V57" s="20" t="str">
        <f t="shared" si="5"/>
        <v>Miamimulti-family_with_5plus_units</v>
      </c>
    </row>
    <row r="58" spans="2:22">
      <c r="B58" s="20" t="str">
        <v>Miami</v>
      </c>
      <c r="C58" s="20" t="str">
        <v>Mobile Home</v>
      </c>
      <c r="D58" s="21" t="e">
        <f t="shared" ca="1" si="10"/>
        <v>#DIV/0!</v>
      </c>
      <c r="E58" s="21"/>
      <c r="F58" s="21"/>
      <c r="G58" s="21"/>
      <c r="H58" s="25"/>
      <c r="I58" s="21"/>
      <c r="J58" s="20" t="s">
        <v>387</v>
      </c>
      <c r="K58" s="20" t="s">
        <v>384</v>
      </c>
      <c r="L58" s="20" t="s">
        <v>378</v>
      </c>
      <c r="M58" s="20">
        <v>3507016.0350000001</v>
      </c>
      <c r="N58" s="20">
        <v>0</v>
      </c>
      <c r="O58" s="20">
        <v>1517815.8570000001</v>
      </c>
      <c r="P58" s="20">
        <v>1349478.3359999999</v>
      </c>
      <c r="Q58" s="20">
        <v>0</v>
      </c>
      <c r="R58" s="20">
        <v>0</v>
      </c>
      <c r="S58" s="20">
        <f t="shared" si="2"/>
        <v>5024831.892</v>
      </c>
      <c r="T58" s="20" t="str">
        <f t="shared" ca="1" si="3"/>
        <v>Multi-Family Apartment</v>
      </c>
      <c r="U58" s="20" t="str">
        <f t="shared" ca="1" si="4"/>
        <v>MiamiMulti-Family ApartmentwaterHeating</v>
      </c>
      <c r="V58" s="20" t="str">
        <f t="shared" si="5"/>
        <v>Miamimulti-family_with_5plus_units</v>
      </c>
    </row>
    <row r="59" spans="2:22">
      <c r="B59" s="20" t="str">
        <v>Miami</v>
      </c>
      <c r="C59" s="20" t="str">
        <v>Multi-Family Apartment</v>
      </c>
      <c r="D59" s="21" t="e">
        <f t="shared" ca="1" si="10"/>
        <v>#DIV/0!</v>
      </c>
      <c r="E59" s="21"/>
      <c r="F59" s="21"/>
      <c r="G59" s="21"/>
      <c r="H59" s="25"/>
      <c r="I59" s="21"/>
      <c r="J59" s="20" t="s">
        <v>387</v>
      </c>
      <c r="K59" s="20" t="s">
        <v>385</v>
      </c>
      <c r="L59" s="20" t="s">
        <v>369</v>
      </c>
      <c r="M59" s="20">
        <v>2211937.077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f t="shared" si="2"/>
        <v>2211937.077</v>
      </c>
      <c r="T59" s="20" t="str">
        <f t="shared" ca="1" si="3"/>
        <v>Attached Condo Building</v>
      </c>
      <c r="U59" s="20" t="str">
        <f t="shared" ca="1" si="4"/>
        <v>MiamiAttached Condo Buildinglighting</v>
      </c>
      <c r="V59" s="20" t="str">
        <f t="shared" si="5"/>
        <v>Miamisingle-family_attached</v>
      </c>
    </row>
    <row r="60" spans="2:22">
      <c r="B60" s="20" t="str">
        <v>Miami</v>
      </c>
      <c r="C60" s="20" t="str">
        <v>Attached Condo Building</v>
      </c>
      <c r="D60" s="21" t="e">
        <f t="shared" ca="1" si="10"/>
        <v>#DIV/0!</v>
      </c>
      <c r="E60" s="21"/>
      <c r="F60" s="21"/>
      <c r="G60" s="21"/>
      <c r="H60" s="25"/>
      <c r="I60" s="21"/>
      <c r="J60" s="20" t="s">
        <v>387</v>
      </c>
      <c r="K60" s="20" t="s">
        <v>385</v>
      </c>
      <c r="L60" s="20" t="s">
        <v>372</v>
      </c>
      <c r="M60" s="20">
        <v>2631457.3849999998</v>
      </c>
      <c r="N60" s="20">
        <v>0</v>
      </c>
      <c r="O60" s="20">
        <v>644339.10199999996</v>
      </c>
      <c r="P60" s="20">
        <v>0</v>
      </c>
      <c r="Q60" s="20">
        <v>0</v>
      </c>
      <c r="R60" s="20">
        <v>0</v>
      </c>
      <c r="S60" s="20">
        <f t="shared" si="2"/>
        <v>3275796.4869999997</v>
      </c>
      <c r="T60" s="20" t="str">
        <f t="shared" ca="1" si="3"/>
        <v>Attached Condo Building</v>
      </c>
      <c r="U60" s="20" t="str">
        <f t="shared" ca="1" si="4"/>
        <v>MiamiAttached Condo BuildingmajorAppliance_NoWatHeat</v>
      </c>
      <c r="V60" s="20" t="str">
        <f t="shared" si="5"/>
        <v>Miamisingle-family_attached</v>
      </c>
    </row>
    <row r="61" spans="2:22">
      <c r="B61" s="20" t="str">
        <v>Miami</v>
      </c>
      <c r="C61" s="20" t="str">
        <v>Single-Family Housing</v>
      </c>
      <c r="D61" s="21" t="e">
        <f t="shared" ca="1" si="10"/>
        <v>#DIV/0!</v>
      </c>
      <c r="E61" s="21"/>
      <c r="F61" s="21"/>
      <c r="G61" s="21"/>
      <c r="H61" s="25"/>
      <c r="I61" s="21"/>
      <c r="J61" s="20" t="s">
        <v>387</v>
      </c>
      <c r="K61" s="20" t="s">
        <v>385</v>
      </c>
      <c r="L61" s="20" t="s">
        <v>374</v>
      </c>
      <c r="M61" s="20">
        <v>4300006.45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f t="shared" si="2"/>
        <v>4300006.45</v>
      </c>
      <c r="T61" s="20" t="str">
        <f t="shared" ca="1" si="3"/>
        <v>Attached Condo Building</v>
      </c>
      <c r="U61" s="20" t="str">
        <f t="shared" ca="1" si="4"/>
        <v>MiamiAttached Condo BuildingplugLoad</v>
      </c>
      <c r="V61" s="20" t="str">
        <f t="shared" si="5"/>
        <v>Miamisingle-family_attached</v>
      </c>
    </row>
    <row r="62" spans="2:22">
      <c r="B62" s="20" t="str">
        <v>Montgomery</v>
      </c>
      <c r="C62" s="20" t="str">
        <v>Mobile Home</v>
      </c>
      <c r="D62" s="21" t="e">
        <f t="shared" ca="1" si="10"/>
        <v>#DIV/0!</v>
      </c>
      <c r="E62" s="21"/>
      <c r="F62" s="21"/>
      <c r="G62" s="21"/>
      <c r="H62" s="25"/>
      <c r="I62" s="21"/>
      <c r="J62" s="20" t="s">
        <v>387</v>
      </c>
      <c r="K62" s="20" t="s">
        <v>385</v>
      </c>
      <c r="L62" s="20" t="s">
        <v>375</v>
      </c>
      <c r="M62" s="20">
        <v>1033673.495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f t="shared" si="2"/>
        <v>1033673.495</v>
      </c>
      <c r="T62" s="20" t="str">
        <f t="shared" ca="1" si="3"/>
        <v>Attached Condo Building</v>
      </c>
      <c r="U62" s="20" t="str">
        <f t="shared" ca="1" si="4"/>
        <v>MiamiAttached Condo BuildingspaceCondDistribution</v>
      </c>
      <c r="V62" s="20" t="str">
        <f t="shared" si="5"/>
        <v>Miamisingle-family_attached</v>
      </c>
    </row>
    <row r="63" spans="2:22">
      <c r="B63" s="20" t="str">
        <v>Montgomery</v>
      </c>
      <c r="C63" s="20" t="str">
        <v>Multi-Family Apartment</v>
      </c>
      <c r="D63" s="21" t="e">
        <f t="shared" ca="1" si="10"/>
        <v>#DIV/0!</v>
      </c>
      <c r="E63" s="21"/>
      <c r="F63" s="21"/>
      <c r="G63" s="21"/>
      <c r="H63" s="25"/>
      <c r="I63" s="21"/>
      <c r="J63" s="20" t="s">
        <v>387</v>
      </c>
      <c r="K63" s="20" t="s">
        <v>385</v>
      </c>
      <c r="L63" s="20" t="s">
        <v>376</v>
      </c>
      <c r="M63" s="20">
        <v>2110933.1069999998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f t="shared" si="2"/>
        <v>2110933.1069999998</v>
      </c>
      <c r="T63" s="20" t="str">
        <f t="shared" ca="1" si="3"/>
        <v>Attached Condo Building</v>
      </c>
      <c r="U63" s="20" t="str">
        <f t="shared" ca="1" si="4"/>
        <v>MiamiAttached Condo BuildingspaceCooling</v>
      </c>
      <c r="V63" s="20" t="str">
        <f t="shared" si="5"/>
        <v>Miamisingle-family_attached</v>
      </c>
    </row>
    <row r="64" spans="2:22">
      <c r="B64" s="20" t="str">
        <v>Montgomery</v>
      </c>
      <c r="C64" s="20" t="str">
        <v>Attached Condo Building</v>
      </c>
      <c r="D64" s="21" t="e">
        <f t="shared" ca="1" si="10"/>
        <v>#DIV/0!</v>
      </c>
      <c r="E64" s="21"/>
      <c r="F64" s="21"/>
      <c r="G64" s="21"/>
      <c r="H64" s="25"/>
      <c r="I64" s="21"/>
      <c r="J64" s="20" t="s">
        <v>387</v>
      </c>
      <c r="K64" s="20" t="s">
        <v>385</v>
      </c>
      <c r="L64" s="20" t="s">
        <v>377</v>
      </c>
      <c r="M64" s="20">
        <v>2911479.091</v>
      </c>
      <c r="N64" s="20">
        <v>0</v>
      </c>
      <c r="O64" s="20">
        <v>29650412.16</v>
      </c>
      <c r="P64" s="20">
        <v>0</v>
      </c>
      <c r="Q64" s="20">
        <v>0</v>
      </c>
      <c r="R64" s="20">
        <v>0</v>
      </c>
      <c r="S64" s="20">
        <f t="shared" si="2"/>
        <v>32561891.251000002</v>
      </c>
      <c r="T64" s="20" t="str">
        <f t="shared" ca="1" si="3"/>
        <v>Attached Condo Building</v>
      </c>
      <c r="U64" s="20" t="str">
        <f t="shared" ca="1" si="4"/>
        <v>MiamiAttached Condo BuildingspaceHeating</v>
      </c>
      <c r="V64" s="20" t="str">
        <f t="shared" si="5"/>
        <v>Miamisingle-family_attached</v>
      </c>
    </row>
    <row r="65" spans="2:22">
      <c r="B65" s="20" t="str">
        <v>Montgomery</v>
      </c>
      <c r="C65" s="20" t="str">
        <v>Single-Family Housing</v>
      </c>
      <c r="D65" s="21" t="e">
        <f t="shared" ca="1" si="10"/>
        <v>#DIV/0!</v>
      </c>
      <c r="E65" s="21"/>
      <c r="F65" s="21"/>
      <c r="G65" s="21"/>
      <c r="H65" s="25"/>
      <c r="I65" s="21"/>
      <c r="J65" s="20" t="s">
        <v>387</v>
      </c>
      <c r="K65" s="20" t="s">
        <v>385</v>
      </c>
      <c r="L65" s="20" t="s">
        <v>378</v>
      </c>
      <c r="M65" s="20">
        <v>463021.8787</v>
      </c>
      <c r="N65" s="20">
        <v>0</v>
      </c>
      <c r="O65" s="20">
        <v>7396900.7120000003</v>
      </c>
      <c r="P65" s="20">
        <v>0</v>
      </c>
      <c r="Q65" s="20">
        <v>0</v>
      </c>
      <c r="R65" s="20">
        <v>0</v>
      </c>
      <c r="S65" s="20">
        <f t="shared" si="2"/>
        <v>7859922.5907000005</v>
      </c>
      <c r="T65" s="20" t="str">
        <f t="shared" ca="1" si="3"/>
        <v>Attached Condo Building</v>
      </c>
      <c r="U65" s="20" t="str">
        <f t="shared" ca="1" si="4"/>
        <v>MiamiAttached Condo BuildingwaterHeating</v>
      </c>
      <c r="V65" s="20" t="str">
        <f t="shared" si="5"/>
        <v>Miamisingle-family_attached</v>
      </c>
    </row>
    <row r="66" spans="2:22">
      <c r="B66" s="20">
        <v>0</v>
      </c>
      <c r="C66" s="20">
        <v>0</v>
      </c>
      <c r="D66" s="21" t="e">
        <f t="shared" si="10"/>
        <v>#DIV/0!</v>
      </c>
      <c r="E66" s="21"/>
      <c r="F66" s="21"/>
      <c r="G66" s="21"/>
      <c r="H66" s="25"/>
      <c r="I66" s="21"/>
      <c r="J66" s="20" t="s">
        <v>387</v>
      </c>
      <c r="K66" s="20" t="s">
        <v>386</v>
      </c>
      <c r="L66" s="20" t="s">
        <v>369</v>
      </c>
      <c r="M66" s="20">
        <v>40927015.979999997</v>
      </c>
      <c r="N66" s="20">
        <v>0</v>
      </c>
      <c r="O66" s="20">
        <v>220021.85370000001</v>
      </c>
      <c r="P66" s="20">
        <v>0</v>
      </c>
      <c r="Q66" s="20">
        <v>0</v>
      </c>
      <c r="R66" s="20">
        <v>0</v>
      </c>
      <c r="S66" s="20">
        <f t="shared" si="2"/>
        <v>41147037.833699994</v>
      </c>
      <c r="T66" s="20" t="str">
        <f t="shared" ca="1" si="3"/>
        <v>Single-Family Housing</v>
      </c>
      <c r="U66" s="20" t="str">
        <f t="shared" ca="1" si="4"/>
        <v>MiamiSingle-Family Housinglighting</v>
      </c>
      <c r="V66" s="20" t="str">
        <f t="shared" si="5"/>
        <v>Miamisingle-family_detached</v>
      </c>
    </row>
    <row r="67" spans="2:22">
      <c r="B67" s="20">
        <v>0</v>
      </c>
      <c r="C67" s="20">
        <v>0</v>
      </c>
      <c r="D67" s="21" t="e">
        <f t="shared" si="10"/>
        <v>#DIV/0!</v>
      </c>
      <c r="E67" s="21"/>
      <c r="F67" s="21"/>
      <c r="G67" s="21"/>
      <c r="H67" s="25"/>
      <c r="I67" s="21"/>
      <c r="J67" s="20" t="s">
        <v>387</v>
      </c>
      <c r="K67" s="20" t="s">
        <v>386</v>
      </c>
      <c r="L67" s="20" t="s">
        <v>372</v>
      </c>
      <c r="M67" s="20">
        <v>68305954.459999993</v>
      </c>
      <c r="N67" s="20">
        <v>0</v>
      </c>
      <c r="O67" s="20">
        <v>19592499.559999999</v>
      </c>
      <c r="P67" s="20">
        <v>1080669.179</v>
      </c>
      <c r="Q67" s="20">
        <v>0</v>
      </c>
      <c r="R67" s="20">
        <v>0</v>
      </c>
      <c r="S67" s="20">
        <f t="shared" si="2"/>
        <v>87898454.019999996</v>
      </c>
      <c r="T67" s="20" t="str">
        <f t="shared" ca="1" si="3"/>
        <v>Single-Family Housing</v>
      </c>
      <c r="U67" s="20" t="str">
        <f t="shared" ca="1" si="4"/>
        <v>MiamiSingle-Family HousingmajorAppliance_NoWatHeat</v>
      </c>
      <c r="V67" s="20" t="str">
        <f t="shared" si="5"/>
        <v>Miamisingle-family_detached</v>
      </c>
    </row>
    <row r="68" spans="2:22">
      <c r="B68" s="20">
        <v>0</v>
      </c>
      <c r="C68" s="20">
        <v>0</v>
      </c>
      <c r="D68" s="21" t="e">
        <f t="shared" si="10"/>
        <v>#DIV/0!</v>
      </c>
      <c r="E68" s="21"/>
      <c r="F68" s="21"/>
      <c r="G68" s="21"/>
      <c r="H68" s="25"/>
      <c r="I68" s="21"/>
      <c r="J68" s="20" t="s">
        <v>387</v>
      </c>
      <c r="K68" s="20" t="s">
        <v>386</v>
      </c>
      <c r="L68" s="20" t="s">
        <v>374</v>
      </c>
      <c r="M68" s="20">
        <v>75805287.379999995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f t="shared" si="2"/>
        <v>75805287.379999995</v>
      </c>
      <c r="T68" s="20" t="str">
        <f t="shared" ca="1" si="3"/>
        <v>Single-Family Housing</v>
      </c>
      <c r="U68" s="20" t="str">
        <f t="shared" ca="1" si="4"/>
        <v>MiamiSingle-Family HousingplugLoad</v>
      </c>
      <c r="V68" s="20" t="str">
        <f t="shared" si="5"/>
        <v>Miamisingle-family_detached</v>
      </c>
    </row>
    <row r="69" spans="2:22">
      <c r="B69" s="20">
        <v>0</v>
      </c>
      <c r="C69" s="20">
        <v>0</v>
      </c>
      <c r="D69" s="21" t="e">
        <f t="shared" si="10"/>
        <v>#DIV/0!</v>
      </c>
      <c r="E69" s="21"/>
      <c r="F69" s="21"/>
      <c r="G69" s="21"/>
      <c r="H69" s="25"/>
      <c r="I69" s="21"/>
      <c r="J69" s="20" t="s">
        <v>387</v>
      </c>
      <c r="K69" s="20" t="s">
        <v>386</v>
      </c>
      <c r="L69" s="20" t="s">
        <v>375</v>
      </c>
      <c r="M69" s="20">
        <v>26867481.109999999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f t="shared" si="2"/>
        <v>26867481.109999999</v>
      </c>
      <c r="T69" s="20" t="str">
        <f t="shared" ca="1" si="3"/>
        <v>Single-Family Housing</v>
      </c>
      <c r="U69" s="20" t="str">
        <f t="shared" ca="1" si="4"/>
        <v>MiamiSingle-Family HousingspaceCondDistribution</v>
      </c>
      <c r="V69" s="20" t="str">
        <f t="shared" si="5"/>
        <v>Miamisingle-family_detached</v>
      </c>
    </row>
    <row r="70" spans="2:22">
      <c r="B70" s="20">
        <v>0</v>
      </c>
      <c r="C70" s="20">
        <v>0</v>
      </c>
      <c r="D70" s="21" t="e">
        <f t="shared" si="10"/>
        <v>#DIV/0!</v>
      </c>
      <c r="E70" s="21"/>
      <c r="F70" s="21"/>
      <c r="G70" s="21"/>
      <c r="H70" s="25"/>
      <c r="I70" s="21"/>
      <c r="J70" s="20" t="s">
        <v>387</v>
      </c>
      <c r="K70" s="20" t="s">
        <v>386</v>
      </c>
      <c r="L70" s="20" t="s">
        <v>376</v>
      </c>
      <c r="M70" s="20">
        <v>50165762.579999998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f t="shared" si="2"/>
        <v>50165762.579999998</v>
      </c>
      <c r="T70" s="20" t="str">
        <f t="shared" ca="1" si="3"/>
        <v>Single-Family Housing</v>
      </c>
      <c r="U70" s="20" t="str">
        <f t="shared" ca="1" si="4"/>
        <v>MiamiSingle-Family HousingspaceCooling</v>
      </c>
      <c r="V70" s="20" t="str">
        <f t="shared" si="5"/>
        <v>Miamisingle-family_detached</v>
      </c>
    </row>
    <row r="71" spans="2:22">
      <c r="B71" s="20">
        <v>0</v>
      </c>
      <c r="C71" s="20">
        <v>0</v>
      </c>
      <c r="D71" s="21" t="e">
        <f t="shared" si="10"/>
        <v>#DIV/0!</v>
      </c>
      <c r="E71" s="21"/>
      <c r="F71" s="21"/>
      <c r="G71" s="21"/>
      <c r="H71" s="25"/>
      <c r="I71" s="21"/>
      <c r="J71" s="20" t="s">
        <v>387</v>
      </c>
      <c r="K71" s="20" t="s">
        <v>386</v>
      </c>
      <c r="L71" s="20" t="s">
        <v>377</v>
      </c>
      <c r="M71" s="20">
        <v>159763920.59999999</v>
      </c>
      <c r="N71" s="20">
        <v>37513948</v>
      </c>
      <c r="O71" s="20">
        <v>662404809.79999995</v>
      </c>
      <c r="P71" s="20">
        <v>128247934.8</v>
      </c>
      <c r="Q71" s="20">
        <v>0</v>
      </c>
      <c r="R71" s="20">
        <v>0</v>
      </c>
      <c r="S71" s="20">
        <f t="shared" si="2"/>
        <v>822168730.39999998</v>
      </c>
      <c r="T71" s="20" t="str">
        <f t="shared" ca="1" si="3"/>
        <v>Single-Family Housing</v>
      </c>
      <c r="U71" s="20" t="str">
        <f t="shared" ca="1" si="4"/>
        <v>MiamiSingle-Family HousingspaceHeating</v>
      </c>
      <c r="V71" s="20" t="str">
        <f t="shared" si="5"/>
        <v>Miamisingle-family_detached</v>
      </c>
    </row>
    <row r="72" spans="2:22">
      <c r="B72" s="20">
        <v>0</v>
      </c>
      <c r="C72" s="20">
        <v>0</v>
      </c>
      <c r="D72" s="21" t="e">
        <f t="shared" si="10"/>
        <v>#DIV/0!</v>
      </c>
      <c r="E72" s="21"/>
      <c r="F72" s="21"/>
      <c r="G72" s="21"/>
      <c r="H72" s="25"/>
      <c r="I72" s="21"/>
      <c r="J72" s="20" t="s">
        <v>387</v>
      </c>
      <c r="K72" s="20" t="s">
        <v>386</v>
      </c>
      <c r="L72" s="20" t="s">
        <v>378</v>
      </c>
      <c r="M72" s="20">
        <v>34299241.439999998</v>
      </c>
      <c r="N72" s="20">
        <v>1472503.666</v>
      </c>
      <c r="O72" s="20">
        <v>99435542.420000002</v>
      </c>
      <c r="P72" s="20">
        <v>12775617.17</v>
      </c>
      <c r="Q72" s="20">
        <v>0</v>
      </c>
      <c r="R72" s="20">
        <v>0</v>
      </c>
      <c r="S72" s="20">
        <f t="shared" si="2"/>
        <v>133734783.86</v>
      </c>
      <c r="T72" s="20" t="str">
        <f t="shared" ca="1" si="3"/>
        <v>Single-Family Housing</v>
      </c>
      <c r="U72" s="20" t="str">
        <f t="shared" ca="1" si="4"/>
        <v>MiamiSingle-Family HousingwaterHeating</v>
      </c>
      <c r="V72" s="20" t="str">
        <f t="shared" si="5"/>
        <v>Miamisingle-family_detached</v>
      </c>
    </row>
    <row r="73" spans="2:22">
      <c r="B73" s="20">
        <v>0</v>
      </c>
      <c r="C73" s="20">
        <v>0</v>
      </c>
      <c r="D73" s="21" t="e">
        <f t="shared" si="10"/>
        <v>#DIV/0!</v>
      </c>
      <c r="E73" s="21"/>
      <c r="F73" s="21"/>
      <c r="G73" s="21"/>
      <c r="H73" s="25"/>
      <c r="I73" s="21"/>
      <c r="J73" s="20" t="s">
        <v>389</v>
      </c>
      <c r="K73" s="20" t="s">
        <v>368</v>
      </c>
      <c r="L73" s="20" t="s">
        <v>369</v>
      </c>
      <c r="M73" s="20">
        <v>1811845.398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f t="shared" si="2"/>
        <v>1811845.398</v>
      </c>
      <c r="T73" s="20" t="str">
        <f t="shared" ca="1" si="3"/>
        <v>Mobile Home</v>
      </c>
      <c r="U73" s="20" t="str">
        <f t="shared" ca="1" si="4"/>
        <v>MontgomeryMobile Homelighting</v>
      </c>
      <c r="V73" s="20" t="str">
        <f t="shared" si="5"/>
        <v>Montgomerymobile_home</v>
      </c>
    </row>
    <row r="74" spans="2:22">
      <c r="B74" s="20">
        <v>0</v>
      </c>
      <c r="C74" s="20">
        <v>0</v>
      </c>
      <c r="D74" s="21" t="e">
        <f t="shared" si="10"/>
        <v>#DIV/0!</v>
      </c>
      <c r="E74" s="21"/>
      <c r="F74" s="21"/>
      <c r="G74" s="21"/>
      <c r="H74" s="25"/>
      <c r="I74" s="21"/>
      <c r="J74" s="20" t="s">
        <v>389</v>
      </c>
      <c r="K74" s="20" t="s">
        <v>368</v>
      </c>
      <c r="L74" s="20" t="s">
        <v>372</v>
      </c>
      <c r="M74" s="20">
        <v>3532246.872</v>
      </c>
      <c r="N74" s="20">
        <v>0</v>
      </c>
      <c r="O74" s="20">
        <v>668893.19169999997</v>
      </c>
      <c r="P74" s="20">
        <v>0</v>
      </c>
      <c r="Q74" s="20">
        <v>0</v>
      </c>
      <c r="R74" s="20">
        <v>0</v>
      </c>
      <c r="S74" s="20">
        <f t="shared" si="2"/>
        <v>4201140.0636999998</v>
      </c>
      <c r="T74" s="20" t="str">
        <f t="shared" ca="1" si="3"/>
        <v>Mobile Home</v>
      </c>
      <c r="U74" s="20" t="str">
        <f t="shared" ca="1" si="4"/>
        <v>MontgomeryMobile HomemajorAppliance_NoWatHeat</v>
      </c>
      <c r="V74" s="20" t="str">
        <f t="shared" si="5"/>
        <v>Montgomerymobile_home</v>
      </c>
    </row>
    <row r="75" spans="2:22">
      <c r="B75" s="20" t="s">
        <v>390</v>
      </c>
      <c r="C75" s="20" t="s">
        <v>373</v>
      </c>
      <c r="D75" s="21" t="e">
        <f t="shared" ref="D75:D79" ca="1" si="12">AVERAGEIF($C$40:$C$74,"="&amp;C75,$D$40:$D$74)</f>
        <v>#DIV/0!</v>
      </c>
      <c r="E75" s="21"/>
      <c r="F75" s="21"/>
      <c r="G75" s="21"/>
      <c r="H75" s="25"/>
      <c r="I75" s="21"/>
      <c r="J75" s="20" t="s">
        <v>389</v>
      </c>
      <c r="K75" s="20" t="s">
        <v>368</v>
      </c>
      <c r="L75" s="20" t="s">
        <v>374</v>
      </c>
      <c r="M75" s="20">
        <v>5515826.4720000001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f t="shared" si="2"/>
        <v>5515826.4720000001</v>
      </c>
      <c r="T75" s="20" t="str">
        <f t="shared" ca="1" si="3"/>
        <v>Mobile Home</v>
      </c>
      <c r="U75" s="20" t="str">
        <f t="shared" ca="1" si="4"/>
        <v>MontgomeryMobile HomeplugLoad</v>
      </c>
      <c r="V75" s="20" t="str">
        <f t="shared" si="5"/>
        <v>Montgomerymobile_home</v>
      </c>
    </row>
    <row r="76" spans="2:22">
      <c r="B76" s="20" t="s">
        <v>390</v>
      </c>
      <c r="C76" s="20" t="s">
        <v>391</v>
      </c>
      <c r="D76" s="21" t="e">
        <f t="shared" si="12"/>
        <v>#DIV/0!</v>
      </c>
      <c r="E76" s="21"/>
      <c r="F76" s="21"/>
      <c r="G76" s="21"/>
      <c r="H76" s="25"/>
      <c r="I76" s="21"/>
      <c r="J76" s="20" t="s">
        <v>389</v>
      </c>
      <c r="K76" s="20" t="s">
        <v>368</v>
      </c>
      <c r="L76" s="20" t="s">
        <v>375</v>
      </c>
      <c r="M76" s="20">
        <v>2150600.4619999998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f t="shared" si="2"/>
        <v>2150600.4619999998</v>
      </c>
      <c r="T76" s="20" t="str">
        <f t="shared" ca="1" si="3"/>
        <v>Mobile Home</v>
      </c>
      <c r="U76" s="20" t="str">
        <f t="shared" ca="1" si="4"/>
        <v>MontgomeryMobile HomespaceCondDistribution</v>
      </c>
      <c r="V76" s="20" t="str">
        <f t="shared" si="5"/>
        <v>Montgomerymobile_home</v>
      </c>
    </row>
    <row r="77" spans="2:22">
      <c r="B77" s="20" t="s">
        <v>390</v>
      </c>
      <c r="C77" s="20" t="s">
        <v>366</v>
      </c>
      <c r="D77" s="21" t="e">
        <f t="shared" ca="1" si="12"/>
        <v>#DIV/0!</v>
      </c>
      <c r="E77" s="21"/>
      <c r="F77" s="21"/>
      <c r="G77" s="21"/>
      <c r="H77" s="25"/>
      <c r="I77" s="21"/>
      <c r="J77" s="20" t="s">
        <v>389</v>
      </c>
      <c r="K77" s="20" t="s">
        <v>368</v>
      </c>
      <c r="L77" s="20" t="s">
        <v>376</v>
      </c>
      <c r="M77" s="20">
        <v>3952745.0120000001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f t="shared" si="2"/>
        <v>3952745.0120000001</v>
      </c>
      <c r="T77" s="20" t="str">
        <f t="shared" ca="1" si="3"/>
        <v>Mobile Home</v>
      </c>
      <c r="U77" s="20" t="str">
        <f t="shared" ca="1" si="4"/>
        <v>MontgomeryMobile HomespaceCooling</v>
      </c>
      <c r="V77" s="20" t="str">
        <f t="shared" si="5"/>
        <v>Montgomerymobile_home</v>
      </c>
    </row>
    <row r="78" spans="2:22">
      <c r="B78" s="20" t="s">
        <v>390</v>
      </c>
      <c r="C78" s="20" t="s">
        <v>371</v>
      </c>
      <c r="D78" s="21" t="e">
        <f t="shared" ca="1" si="12"/>
        <v>#DIV/0!</v>
      </c>
      <c r="E78" s="21"/>
      <c r="F78" s="21"/>
      <c r="G78" s="21"/>
      <c r="H78" s="25"/>
      <c r="I78" s="21"/>
      <c r="J78" s="20" t="s">
        <v>389</v>
      </c>
      <c r="K78" s="20" t="s">
        <v>368</v>
      </c>
      <c r="L78" s="20" t="s">
        <v>377</v>
      </c>
      <c r="M78" s="20">
        <v>12886294.960000001</v>
      </c>
      <c r="N78" s="20">
        <v>0</v>
      </c>
      <c r="O78" s="20">
        <v>47227857.729999997</v>
      </c>
      <c r="P78" s="20">
        <v>2252117.0260000001</v>
      </c>
      <c r="Q78" s="20">
        <v>0</v>
      </c>
      <c r="R78" s="20">
        <v>0</v>
      </c>
      <c r="S78" s="20">
        <f t="shared" si="2"/>
        <v>60114152.689999998</v>
      </c>
      <c r="T78" s="20" t="str">
        <f t="shared" ca="1" si="3"/>
        <v>Mobile Home</v>
      </c>
      <c r="U78" s="20" t="str">
        <f t="shared" ca="1" si="4"/>
        <v>MontgomeryMobile HomespaceHeating</v>
      </c>
      <c r="V78" s="20" t="str">
        <f t="shared" si="5"/>
        <v>Montgomerymobile_home</v>
      </c>
    </row>
    <row r="79" spans="2:22">
      <c r="B79" s="20" t="s">
        <v>390</v>
      </c>
      <c r="C79" s="20" t="s">
        <v>370</v>
      </c>
      <c r="D79" s="21" t="e">
        <f t="shared" ca="1" si="12"/>
        <v>#DIV/0!</v>
      </c>
      <c r="E79" s="21"/>
      <c r="F79" s="21"/>
      <c r="G79" s="21"/>
      <c r="H79" s="25"/>
      <c r="I79" s="21"/>
      <c r="J79" s="20" t="s">
        <v>389</v>
      </c>
      <c r="K79" s="20" t="s">
        <v>368</v>
      </c>
      <c r="L79" s="20" t="s">
        <v>378</v>
      </c>
      <c r="M79" s="20">
        <v>2248328.5720000002</v>
      </c>
      <c r="N79" s="20">
        <v>0</v>
      </c>
      <c r="O79" s="20">
        <v>7184760.3140000002</v>
      </c>
      <c r="P79" s="20">
        <v>407793.10550000001</v>
      </c>
      <c r="Q79" s="20">
        <v>0</v>
      </c>
      <c r="R79" s="20">
        <v>0</v>
      </c>
      <c r="S79" s="20">
        <f t="shared" si="2"/>
        <v>9433088.8859999999</v>
      </c>
      <c r="T79" s="20" t="str">
        <f t="shared" ca="1" si="3"/>
        <v>Mobile Home</v>
      </c>
      <c r="U79" s="20" t="str">
        <f t="shared" ca="1" si="4"/>
        <v>MontgomeryMobile HomewaterHeating</v>
      </c>
      <c r="V79" s="20" t="str">
        <f t="shared" si="5"/>
        <v>Montgomerymobile_home</v>
      </c>
    </row>
    <row r="80" spans="2:22">
      <c r="D80" s="21"/>
      <c r="E80" s="21"/>
      <c r="G80" s="21"/>
      <c r="H80" s="25"/>
      <c r="I80" s="21"/>
      <c r="J80" s="20" t="s">
        <v>389</v>
      </c>
      <c r="K80" s="20" t="s">
        <v>379</v>
      </c>
      <c r="L80" s="20" t="s">
        <v>369</v>
      </c>
      <c r="M80" s="20">
        <v>13364279.6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f t="shared" si="2"/>
        <v>13364279.6</v>
      </c>
      <c r="T80" s="20" t="str">
        <f t="shared" ca="1" si="3"/>
        <v>Multi-Family Apartment</v>
      </c>
      <c r="U80" s="20" t="str">
        <f t="shared" ca="1" si="4"/>
        <v>MontgomeryMulti-Family Apartmentlighting</v>
      </c>
      <c r="V80" s="20" t="str">
        <f t="shared" si="5"/>
        <v>Montgomerymulti-family_with_2_-_4_units</v>
      </c>
    </row>
    <row r="81" spans="4:22">
      <c r="D81" s="21"/>
      <c r="E81" s="21"/>
      <c r="G81" s="21"/>
      <c r="H81" s="25"/>
      <c r="I81" s="21"/>
      <c r="J81" s="20" t="s">
        <v>389</v>
      </c>
      <c r="K81" s="20" t="s">
        <v>379</v>
      </c>
      <c r="L81" s="20" t="s">
        <v>372</v>
      </c>
      <c r="M81" s="20">
        <v>21225472.600000001</v>
      </c>
      <c r="N81" s="20">
        <v>0</v>
      </c>
      <c r="O81" s="20">
        <v>5313081.87</v>
      </c>
      <c r="P81" s="20">
        <v>0</v>
      </c>
      <c r="Q81" s="20">
        <v>0</v>
      </c>
      <c r="R81" s="20">
        <v>0</v>
      </c>
      <c r="S81" s="20">
        <f t="shared" si="2"/>
        <v>26538554.470000003</v>
      </c>
      <c r="T81" s="20" t="str">
        <f t="shared" ca="1" si="3"/>
        <v>Multi-Family Apartment</v>
      </c>
      <c r="U81" s="20" t="str">
        <f t="shared" ca="1" si="4"/>
        <v>MontgomeryMulti-Family ApartmentmajorAppliance_NoWatHeat</v>
      </c>
      <c r="V81" s="20" t="str">
        <f t="shared" si="5"/>
        <v>Montgomerymulti-family_with_2_-_4_units</v>
      </c>
    </row>
    <row r="82" spans="4:22">
      <c r="F82" s="21"/>
      <c r="G82" s="21"/>
      <c r="J82" s="20" t="s">
        <v>389</v>
      </c>
      <c r="K82" s="20" t="s">
        <v>379</v>
      </c>
      <c r="L82" s="20" t="s">
        <v>374</v>
      </c>
      <c r="M82" s="20">
        <v>27151894.199999999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f t="shared" si="2"/>
        <v>27151894.199999999</v>
      </c>
      <c r="T82" s="20" t="str">
        <f t="shared" ca="1" si="3"/>
        <v>Multi-Family Apartment</v>
      </c>
      <c r="U82" s="20" t="str">
        <f t="shared" ca="1" si="4"/>
        <v>MontgomeryMulti-Family ApartmentplugLoad</v>
      </c>
      <c r="V82" s="20" t="str">
        <f t="shared" si="5"/>
        <v>Montgomerymulti-family_with_2_-_4_units</v>
      </c>
    </row>
    <row r="83" spans="4:22">
      <c r="F83" s="21"/>
      <c r="G83" s="21"/>
      <c r="J83" s="20" t="s">
        <v>389</v>
      </c>
      <c r="K83" s="20" t="s">
        <v>379</v>
      </c>
      <c r="L83" s="20" t="s">
        <v>375</v>
      </c>
      <c r="M83" s="20">
        <v>8030970.3770000003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f t="shared" si="2"/>
        <v>8030970.3770000003</v>
      </c>
      <c r="T83" s="20" t="str">
        <f t="shared" ca="1" si="3"/>
        <v>Multi-Family Apartment</v>
      </c>
      <c r="U83" s="20" t="str">
        <f t="shared" ca="1" si="4"/>
        <v>MontgomeryMulti-Family ApartmentspaceCondDistribution</v>
      </c>
      <c r="V83" s="20" t="str">
        <f t="shared" si="5"/>
        <v>Montgomerymulti-family_with_2_-_4_units</v>
      </c>
    </row>
    <row r="84" spans="4:22">
      <c r="F84" s="21"/>
      <c r="G84" s="21"/>
      <c r="J84" s="20" t="s">
        <v>389</v>
      </c>
      <c r="K84" s="20" t="s">
        <v>379</v>
      </c>
      <c r="L84" s="20" t="s">
        <v>376</v>
      </c>
      <c r="M84" s="20">
        <v>18944420.43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f t="shared" si="2"/>
        <v>18944420.43</v>
      </c>
      <c r="T84" s="20" t="str">
        <f t="shared" ca="1" si="3"/>
        <v>Multi-Family Apartment</v>
      </c>
      <c r="U84" s="20" t="str">
        <f t="shared" ca="1" si="4"/>
        <v>MontgomeryMulti-Family ApartmentspaceCooling</v>
      </c>
      <c r="V84" s="20" t="str">
        <f t="shared" si="5"/>
        <v>Montgomerymulti-family_with_2_-_4_units</v>
      </c>
    </row>
    <row r="85" spans="4:22">
      <c r="F85" s="21"/>
      <c r="G85" s="21"/>
      <c r="J85" s="20" t="s">
        <v>389</v>
      </c>
      <c r="K85" s="20" t="s">
        <v>379</v>
      </c>
      <c r="L85" s="20" t="s">
        <v>377</v>
      </c>
      <c r="M85" s="20">
        <v>74329124.420000002</v>
      </c>
      <c r="N85" s="20">
        <v>0</v>
      </c>
      <c r="O85" s="20">
        <v>189421798.80000001</v>
      </c>
      <c r="P85" s="20">
        <v>0</v>
      </c>
      <c r="Q85" s="20">
        <v>0</v>
      </c>
      <c r="R85" s="20">
        <v>0</v>
      </c>
      <c r="S85" s="20">
        <f t="shared" si="2"/>
        <v>263750923.22000003</v>
      </c>
      <c r="T85" s="20" t="str">
        <f t="shared" ca="1" si="3"/>
        <v>Multi-Family Apartment</v>
      </c>
      <c r="U85" s="20" t="str">
        <f t="shared" ca="1" si="4"/>
        <v>MontgomeryMulti-Family ApartmentspaceHeating</v>
      </c>
      <c r="V85" s="20" t="str">
        <f t="shared" si="5"/>
        <v>Montgomerymulti-family_with_2_-_4_units</v>
      </c>
    </row>
    <row r="86" spans="4:22">
      <c r="J86" s="20" t="s">
        <v>389</v>
      </c>
      <c r="K86" s="20" t="s">
        <v>379</v>
      </c>
      <c r="L86" s="20" t="s">
        <v>378</v>
      </c>
      <c r="M86" s="20">
        <v>14396214.23</v>
      </c>
      <c r="N86" s="20">
        <v>0</v>
      </c>
      <c r="O86" s="20">
        <v>42386912.439999998</v>
      </c>
      <c r="P86" s="20">
        <v>682917.54509999999</v>
      </c>
      <c r="Q86" s="20">
        <v>0</v>
      </c>
      <c r="R86" s="20">
        <v>0</v>
      </c>
      <c r="S86" s="20">
        <f t="shared" si="2"/>
        <v>56783126.670000002</v>
      </c>
      <c r="T86" s="20" t="str">
        <f t="shared" ca="1" si="3"/>
        <v>Multi-Family Apartment</v>
      </c>
      <c r="U86" s="20" t="str">
        <f t="shared" ca="1" si="4"/>
        <v>MontgomeryMulti-Family ApartmentwaterHeating</v>
      </c>
      <c r="V86" s="20" t="str">
        <f t="shared" si="5"/>
        <v>Montgomerymulti-family_with_2_-_4_units</v>
      </c>
    </row>
    <row r="87" spans="4:22">
      <c r="J87" s="20" t="s">
        <v>389</v>
      </c>
      <c r="K87" s="20" t="s">
        <v>384</v>
      </c>
      <c r="L87" s="20" t="s">
        <v>369</v>
      </c>
      <c r="M87" s="20">
        <v>28162859.640000001</v>
      </c>
      <c r="N87" s="20">
        <v>0</v>
      </c>
      <c r="O87" s="20">
        <v>251987.6568</v>
      </c>
      <c r="P87" s="20">
        <v>0</v>
      </c>
      <c r="Q87" s="20">
        <v>0</v>
      </c>
      <c r="R87" s="20">
        <v>0</v>
      </c>
      <c r="S87" s="20">
        <f t="shared" si="2"/>
        <v>28414847.296800002</v>
      </c>
      <c r="T87" s="20" t="str">
        <f t="shared" ca="1" si="3"/>
        <v>Multi-Family Apartment</v>
      </c>
      <c r="U87" s="20" t="str">
        <f t="shared" ca="1" si="4"/>
        <v>MontgomeryMulti-Family Apartmentlighting</v>
      </c>
      <c r="V87" s="20" t="str">
        <f t="shared" si="5"/>
        <v>Montgomerymulti-family_with_5plus_units</v>
      </c>
    </row>
    <row r="88" spans="4:22">
      <c r="J88" s="20" t="s">
        <v>389</v>
      </c>
      <c r="K88" s="20" t="s">
        <v>384</v>
      </c>
      <c r="L88" s="20" t="s">
        <v>372</v>
      </c>
      <c r="M88" s="20">
        <v>35276591.189999998</v>
      </c>
      <c r="N88" s="20">
        <v>0</v>
      </c>
      <c r="O88" s="20">
        <v>3826586.3629999999</v>
      </c>
      <c r="P88" s="20">
        <v>0</v>
      </c>
      <c r="Q88" s="20">
        <v>0</v>
      </c>
      <c r="R88" s="20">
        <v>0</v>
      </c>
      <c r="S88" s="20">
        <f t="shared" si="2"/>
        <v>39103177.552999996</v>
      </c>
      <c r="T88" s="20" t="str">
        <f t="shared" ca="1" si="3"/>
        <v>Multi-Family Apartment</v>
      </c>
      <c r="U88" s="20" t="str">
        <f t="shared" ca="1" si="4"/>
        <v>MontgomeryMulti-Family ApartmentmajorAppliance_NoWatHeat</v>
      </c>
      <c r="V88" s="20" t="str">
        <f t="shared" si="5"/>
        <v>Montgomerymulti-family_with_5plus_units</v>
      </c>
    </row>
    <row r="89" spans="4:22">
      <c r="J89" s="20" t="s">
        <v>389</v>
      </c>
      <c r="K89" s="20" t="s">
        <v>384</v>
      </c>
      <c r="L89" s="20" t="s">
        <v>374</v>
      </c>
      <c r="M89" s="20">
        <v>47037513.240000002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f t="shared" si="2"/>
        <v>47037513.240000002</v>
      </c>
      <c r="T89" s="20" t="str">
        <f t="shared" ca="1" si="3"/>
        <v>Multi-Family Apartment</v>
      </c>
      <c r="U89" s="20" t="str">
        <f t="shared" ca="1" si="4"/>
        <v>MontgomeryMulti-Family ApartmentplugLoad</v>
      </c>
      <c r="V89" s="20" t="str">
        <f t="shared" si="5"/>
        <v>Montgomerymulti-family_with_5plus_units</v>
      </c>
    </row>
    <row r="90" spans="4:22">
      <c r="J90" s="20" t="s">
        <v>389</v>
      </c>
      <c r="K90" s="20" t="s">
        <v>384</v>
      </c>
      <c r="L90" s="20" t="s">
        <v>375</v>
      </c>
      <c r="M90" s="20">
        <v>7173264.9210000001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f t="shared" si="2"/>
        <v>7173264.9210000001</v>
      </c>
      <c r="T90" s="20" t="str">
        <f t="shared" ca="1" si="3"/>
        <v>Multi-Family Apartment</v>
      </c>
      <c r="U90" s="20" t="str">
        <f t="shared" ca="1" si="4"/>
        <v>MontgomeryMulti-Family ApartmentspaceCondDistribution</v>
      </c>
      <c r="V90" s="20" t="str">
        <f t="shared" si="5"/>
        <v>Montgomerymulti-family_with_5plus_units</v>
      </c>
    </row>
    <row r="91" spans="4:22">
      <c r="J91" s="20" t="s">
        <v>389</v>
      </c>
      <c r="K91" s="20" t="s">
        <v>384</v>
      </c>
      <c r="L91" s="20" t="s">
        <v>376</v>
      </c>
      <c r="M91" s="20">
        <v>30877950.539999999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f t="shared" si="2"/>
        <v>30877950.539999999</v>
      </c>
      <c r="T91" s="20" t="str">
        <f t="shared" ca="1" si="3"/>
        <v>Multi-Family Apartment</v>
      </c>
      <c r="U91" s="20" t="str">
        <f t="shared" ca="1" si="4"/>
        <v>MontgomeryMulti-Family ApartmentspaceCooling</v>
      </c>
      <c r="V91" s="20" t="str">
        <f t="shared" si="5"/>
        <v>Montgomerymulti-family_with_5plus_units</v>
      </c>
    </row>
    <row r="92" spans="4:22">
      <c r="J92" s="20" t="s">
        <v>389</v>
      </c>
      <c r="K92" s="20" t="s">
        <v>384</v>
      </c>
      <c r="L92" s="20" t="s">
        <v>377</v>
      </c>
      <c r="M92" s="20">
        <v>143132216.5</v>
      </c>
      <c r="N92" s="20">
        <v>0</v>
      </c>
      <c r="O92" s="20">
        <v>149387540.5</v>
      </c>
      <c r="P92" s="20">
        <v>0</v>
      </c>
      <c r="Q92" s="20">
        <v>0</v>
      </c>
      <c r="R92" s="20">
        <v>0</v>
      </c>
      <c r="S92" s="20">
        <f t="shared" si="2"/>
        <v>292519757</v>
      </c>
      <c r="T92" s="20" t="str">
        <f t="shared" ca="1" si="3"/>
        <v>Multi-Family Apartment</v>
      </c>
      <c r="U92" s="20" t="str">
        <f t="shared" ca="1" si="4"/>
        <v>MontgomeryMulti-Family ApartmentspaceHeating</v>
      </c>
      <c r="V92" s="20" t="str">
        <f t="shared" si="5"/>
        <v>Montgomerymulti-family_with_5plus_units</v>
      </c>
    </row>
    <row r="93" spans="4:22">
      <c r="J93" s="20" t="s">
        <v>389</v>
      </c>
      <c r="K93" s="20" t="s">
        <v>384</v>
      </c>
      <c r="L93" s="20" t="s">
        <v>378</v>
      </c>
      <c r="M93" s="20">
        <v>32805798.210000001</v>
      </c>
      <c r="N93" s="20">
        <v>0</v>
      </c>
      <c r="O93" s="20">
        <v>64674964.520000003</v>
      </c>
      <c r="P93" s="20">
        <v>1457212.138</v>
      </c>
      <c r="Q93" s="20">
        <v>0</v>
      </c>
      <c r="R93" s="20">
        <v>0</v>
      </c>
      <c r="S93" s="20">
        <f t="shared" si="2"/>
        <v>97480762.730000004</v>
      </c>
      <c r="T93" s="20" t="str">
        <f t="shared" ca="1" si="3"/>
        <v>Multi-Family Apartment</v>
      </c>
      <c r="U93" s="20" t="str">
        <f t="shared" ca="1" si="4"/>
        <v>MontgomeryMulti-Family ApartmentwaterHeating</v>
      </c>
      <c r="V93" s="20" t="str">
        <f t="shared" si="5"/>
        <v>Montgomerymulti-family_with_5plus_units</v>
      </c>
    </row>
    <row r="94" spans="4:22">
      <c r="J94" s="20" t="s">
        <v>389</v>
      </c>
      <c r="K94" s="20" t="s">
        <v>385</v>
      </c>
      <c r="L94" s="20" t="s">
        <v>369</v>
      </c>
      <c r="M94" s="20">
        <v>11103083.880000001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f t="shared" si="2"/>
        <v>11103083.880000001</v>
      </c>
      <c r="T94" s="20" t="str">
        <f t="shared" ca="1" si="3"/>
        <v>Attached Condo Building</v>
      </c>
      <c r="U94" s="20" t="str">
        <f t="shared" ca="1" si="4"/>
        <v>MontgomeryAttached Condo Buildinglighting</v>
      </c>
      <c r="V94" s="20" t="str">
        <f t="shared" si="5"/>
        <v>Montgomerysingle-family_attached</v>
      </c>
    </row>
    <row r="95" spans="4:22">
      <c r="J95" s="20" t="s">
        <v>389</v>
      </c>
      <c r="K95" s="20" t="s">
        <v>385</v>
      </c>
      <c r="L95" s="20" t="s">
        <v>372</v>
      </c>
      <c r="M95" s="20">
        <v>16886953.52</v>
      </c>
      <c r="N95" s="20">
        <v>0</v>
      </c>
      <c r="O95" s="20">
        <v>5315261.091</v>
      </c>
      <c r="P95" s="20">
        <v>181201.64670000001</v>
      </c>
      <c r="Q95" s="20">
        <v>0</v>
      </c>
      <c r="R95" s="20">
        <v>0</v>
      </c>
      <c r="S95" s="20">
        <f t="shared" si="2"/>
        <v>22202214.611000001</v>
      </c>
      <c r="T95" s="20" t="str">
        <f t="shared" ca="1" si="3"/>
        <v>Attached Condo Building</v>
      </c>
      <c r="U95" s="20" t="str">
        <f t="shared" ca="1" si="4"/>
        <v>MontgomeryAttached Condo BuildingmajorAppliance_NoWatHeat</v>
      </c>
      <c r="V95" s="20" t="str">
        <f t="shared" si="5"/>
        <v>Montgomerysingle-family_attached</v>
      </c>
    </row>
    <row r="96" spans="4:22">
      <c r="J96" s="20" t="s">
        <v>389</v>
      </c>
      <c r="K96" s="20" t="s">
        <v>385</v>
      </c>
      <c r="L96" s="20" t="s">
        <v>374</v>
      </c>
      <c r="M96" s="20">
        <v>25876910.780000001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f t="shared" si="2"/>
        <v>25876910.780000001</v>
      </c>
      <c r="T96" s="20" t="str">
        <f t="shared" ca="1" si="3"/>
        <v>Attached Condo Building</v>
      </c>
      <c r="U96" s="20" t="str">
        <f t="shared" ca="1" si="4"/>
        <v>MontgomeryAttached Condo BuildingplugLoad</v>
      </c>
      <c r="V96" s="20" t="str">
        <f t="shared" si="5"/>
        <v>Montgomerysingle-family_attached</v>
      </c>
    </row>
    <row r="97" spans="10:22">
      <c r="J97" s="20" t="s">
        <v>389</v>
      </c>
      <c r="K97" s="20" t="s">
        <v>385</v>
      </c>
      <c r="L97" s="20" t="s">
        <v>375</v>
      </c>
      <c r="M97" s="20">
        <v>6940003.9579999996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f t="shared" si="2"/>
        <v>6940003.9579999996</v>
      </c>
      <c r="T97" s="20" t="str">
        <f t="shared" ca="1" si="3"/>
        <v>Attached Condo Building</v>
      </c>
      <c r="U97" s="20" t="str">
        <f t="shared" ca="1" si="4"/>
        <v>MontgomeryAttached Condo BuildingspaceCondDistribution</v>
      </c>
      <c r="V97" s="20" t="str">
        <f t="shared" si="5"/>
        <v>Montgomerysingle-family_attached</v>
      </c>
    </row>
    <row r="98" spans="10:22">
      <c r="J98" s="20" t="s">
        <v>389</v>
      </c>
      <c r="K98" s="20" t="s">
        <v>385</v>
      </c>
      <c r="L98" s="20" t="s">
        <v>376</v>
      </c>
      <c r="M98" s="20">
        <v>13144694.34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f t="shared" si="2"/>
        <v>13144694.34</v>
      </c>
      <c r="T98" s="20" t="str">
        <f t="shared" ca="1" si="3"/>
        <v>Attached Condo Building</v>
      </c>
      <c r="U98" s="20" t="str">
        <f t="shared" ca="1" si="4"/>
        <v>MontgomeryAttached Condo BuildingspaceCooling</v>
      </c>
      <c r="V98" s="20" t="str">
        <f t="shared" si="5"/>
        <v>Montgomerysingle-family_attached</v>
      </c>
    </row>
    <row r="99" spans="10:22">
      <c r="J99" s="20" t="s">
        <v>389</v>
      </c>
      <c r="K99" s="20" t="s">
        <v>385</v>
      </c>
      <c r="L99" s="20" t="s">
        <v>377</v>
      </c>
      <c r="M99" s="20">
        <v>45338656.340000004</v>
      </c>
      <c r="N99" s="20">
        <v>0</v>
      </c>
      <c r="O99" s="20">
        <v>175033233.90000001</v>
      </c>
      <c r="P99" s="20">
        <v>0</v>
      </c>
      <c r="Q99" s="20">
        <v>0</v>
      </c>
      <c r="R99" s="20">
        <v>0</v>
      </c>
      <c r="S99" s="20">
        <f t="shared" si="2"/>
        <v>220371890.24000001</v>
      </c>
      <c r="T99" s="20" t="str">
        <f t="shared" ca="1" si="3"/>
        <v>Attached Condo Building</v>
      </c>
      <c r="U99" s="20" t="str">
        <f t="shared" ca="1" si="4"/>
        <v>MontgomeryAttached Condo BuildingspaceHeating</v>
      </c>
      <c r="V99" s="20" t="str">
        <f t="shared" si="5"/>
        <v>Montgomerysingle-family_attached</v>
      </c>
    </row>
    <row r="100" spans="10:22">
      <c r="J100" s="20" t="s">
        <v>389</v>
      </c>
      <c r="K100" s="20" t="s">
        <v>385</v>
      </c>
      <c r="L100" s="20" t="s">
        <v>378</v>
      </c>
      <c r="M100" s="20">
        <v>7067286.9670000002</v>
      </c>
      <c r="N100" s="20">
        <v>0</v>
      </c>
      <c r="O100" s="20">
        <v>41624218.119999997</v>
      </c>
      <c r="P100" s="20">
        <v>0</v>
      </c>
      <c r="Q100" s="20">
        <v>0</v>
      </c>
      <c r="R100" s="20">
        <v>0</v>
      </c>
      <c r="S100" s="20">
        <f t="shared" si="2"/>
        <v>48691505.086999997</v>
      </c>
      <c r="T100" s="20" t="str">
        <f t="shared" ca="1" si="3"/>
        <v>Attached Condo Building</v>
      </c>
      <c r="U100" s="20" t="str">
        <f t="shared" ca="1" si="4"/>
        <v>MontgomeryAttached Condo BuildingwaterHeating</v>
      </c>
      <c r="V100" s="20" t="str">
        <f t="shared" si="5"/>
        <v>Montgomerysingle-family_attached</v>
      </c>
    </row>
    <row r="101" spans="10:22">
      <c r="J101" s="20" t="s">
        <v>389</v>
      </c>
      <c r="K101" s="20" t="s">
        <v>386</v>
      </c>
      <c r="L101" s="20" t="s">
        <v>369</v>
      </c>
      <c r="M101" s="20">
        <v>202774354.69999999</v>
      </c>
      <c r="N101" s="20">
        <v>0</v>
      </c>
      <c r="O101" s="20">
        <v>1279300.713</v>
      </c>
      <c r="P101" s="20">
        <v>0</v>
      </c>
      <c r="Q101" s="20">
        <v>0</v>
      </c>
      <c r="R101" s="20">
        <v>0</v>
      </c>
      <c r="S101" s="20">
        <f t="shared" si="2"/>
        <v>204053655.41299999</v>
      </c>
      <c r="T101" s="20" t="str">
        <f t="shared" ca="1" si="3"/>
        <v>Single-Family Housing</v>
      </c>
      <c r="U101" s="20" t="str">
        <f t="shared" ca="1" si="4"/>
        <v>MontgomerySingle-Family Housinglighting</v>
      </c>
      <c r="V101" s="20" t="str">
        <f t="shared" si="5"/>
        <v>Montgomerysingle-family_detached</v>
      </c>
    </row>
    <row r="102" spans="10:22">
      <c r="J102" s="20" t="s">
        <v>389</v>
      </c>
      <c r="K102" s="20" t="s">
        <v>386</v>
      </c>
      <c r="L102" s="20" t="s">
        <v>372</v>
      </c>
      <c r="M102" s="20">
        <v>323615167.19999999</v>
      </c>
      <c r="N102" s="20">
        <v>0</v>
      </c>
      <c r="O102" s="20">
        <v>98723478.230000004</v>
      </c>
      <c r="P102" s="20">
        <v>3297439.557</v>
      </c>
      <c r="Q102" s="20">
        <v>0</v>
      </c>
      <c r="R102" s="20">
        <v>0</v>
      </c>
      <c r="S102" s="20">
        <f t="shared" si="2"/>
        <v>422338645.43000001</v>
      </c>
      <c r="T102" s="20" t="str">
        <f t="shared" ca="1" si="3"/>
        <v>Single-Family Housing</v>
      </c>
      <c r="U102" s="20" t="str">
        <f t="shared" ca="1" si="4"/>
        <v>MontgomerySingle-Family HousingmajorAppliance_NoWatHeat</v>
      </c>
      <c r="V102" s="20" t="str">
        <f t="shared" si="5"/>
        <v>Montgomerysingle-family_detached</v>
      </c>
    </row>
    <row r="103" spans="10:22">
      <c r="J103" s="20" t="s">
        <v>389</v>
      </c>
      <c r="K103" s="20" t="s">
        <v>386</v>
      </c>
      <c r="L103" s="20" t="s">
        <v>374</v>
      </c>
      <c r="M103" s="20">
        <v>353720788.80000001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f t="shared" si="2"/>
        <v>353720788.80000001</v>
      </c>
      <c r="T103" s="20" t="str">
        <f t="shared" ca="1" si="3"/>
        <v>Single-Family Housing</v>
      </c>
      <c r="U103" s="20" t="str">
        <f t="shared" ca="1" si="4"/>
        <v>MontgomerySingle-Family HousingplugLoad</v>
      </c>
      <c r="V103" s="20" t="str">
        <f t="shared" si="5"/>
        <v>Montgomerysingle-family_detached</v>
      </c>
    </row>
    <row r="104" spans="10:22">
      <c r="J104" s="20" t="s">
        <v>389</v>
      </c>
      <c r="K104" s="20" t="s">
        <v>386</v>
      </c>
      <c r="L104" s="20" t="s">
        <v>375</v>
      </c>
      <c r="M104" s="20">
        <v>143703045.80000001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f t="shared" si="2"/>
        <v>143703045.80000001</v>
      </c>
      <c r="T104" s="20" t="str">
        <f t="shared" ca="1" si="3"/>
        <v>Single-Family Housing</v>
      </c>
      <c r="U104" s="20" t="str">
        <f t="shared" ca="1" si="4"/>
        <v>MontgomerySingle-Family HousingspaceCondDistribution</v>
      </c>
      <c r="V104" s="20" t="str">
        <f t="shared" si="5"/>
        <v>Montgomerysingle-family_detached</v>
      </c>
    </row>
    <row r="105" spans="10:22">
      <c r="J105" s="20" t="s">
        <v>389</v>
      </c>
      <c r="K105" s="20" t="s">
        <v>386</v>
      </c>
      <c r="L105" s="20" t="s">
        <v>376</v>
      </c>
      <c r="M105" s="20">
        <v>266290214.90000001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f t="shared" si="2"/>
        <v>266290214.90000001</v>
      </c>
      <c r="T105" s="20" t="str">
        <f t="shared" ca="1" si="3"/>
        <v>Single-Family Housing</v>
      </c>
      <c r="U105" s="20" t="str">
        <f t="shared" ca="1" si="4"/>
        <v>MontgomerySingle-Family HousingspaceCooling</v>
      </c>
      <c r="V105" s="20" t="str">
        <f t="shared" si="5"/>
        <v>Montgomerysingle-family_detached</v>
      </c>
    </row>
    <row r="106" spans="10:22">
      <c r="J106" s="20" t="s">
        <v>389</v>
      </c>
      <c r="K106" s="20" t="s">
        <v>386</v>
      </c>
      <c r="L106" s="20" t="s">
        <v>377</v>
      </c>
      <c r="M106" s="20">
        <v>614318560.20000005</v>
      </c>
      <c r="N106" s="20">
        <v>90037913.489999995</v>
      </c>
      <c r="O106" s="20">
        <v>4212586100</v>
      </c>
      <c r="P106" s="20">
        <v>137468083.19999999</v>
      </c>
      <c r="Q106" s="20">
        <v>0</v>
      </c>
      <c r="R106" s="20">
        <v>0</v>
      </c>
      <c r="S106" s="20">
        <f t="shared" si="2"/>
        <v>4826904660.1999998</v>
      </c>
      <c r="T106" s="20" t="str">
        <f t="shared" ca="1" si="3"/>
        <v>Single-Family Housing</v>
      </c>
      <c r="U106" s="20" t="str">
        <f t="shared" ca="1" si="4"/>
        <v>MontgomerySingle-Family HousingspaceHeating</v>
      </c>
      <c r="V106" s="20" t="str">
        <f t="shared" si="5"/>
        <v>Montgomerysingle-family_detached</v>
      </c>
    </row>
    <row r="107" spans="10:22">
      <c r="J107" s="20" t="s">
        <v>389</v>
      </c>
      <c r="K107" s="20" t="s">
        <v>386</v>
      </c>
      <c r="L107" s="20" t="s">
        <v>378</v>
      </c>
      <c r="M107" s="20">
        <v>132611229.09999999</v>
      </c>
      <c r="N107" s="20">
        <v>0</v>
      </c>
      <c r="O107" s="20">
        <v>564305129.79999995</v>
      </c>
      <c r="P107" s="20">
        <v>10236462.68</v>
      </c>
      <c r="Q107" s="20">
        <v>0</v>
      </c>
      <c r="R107" s="20">
        <v>0</v>
      </c>
      <c r="S107" s="20">
        <f t="shared" si="2"/>
        <v>696916358.89999998</v>
      </c>
      <c r="T107" s="20" t="str">
        <f t="shared" ca="1" si="3"/>
        <v>Single-Family Housing</v>
      </c>
      <c r="U107" s="20" t="str">
        <f t="shared" ca="1" si="4"/>
        <v>MontgomerySingle-Family HousingwaterHeating</v>
      </c>
      <c r="V107" s="20" t="str">
        <f t="shared" si="5"/>
        <v>Montgomerysingle-family_detached</v>
      </c>
    </row>
    <row r="109" spans="10:22">
      <c r="J109" s="2" t="str">
        <f>MID(J3,5,FIND(" County",J3)-5)</f>
        <v>Greene</v>
      </c>
      <c r="K109" s="2" t="s">
        <v>368</v>
      </c>
      <c r="L109" s="2" t="s">
        <v>32</v>
      </c>
      <c r="M109" s="24">
        <f t="shared" ref="M109:R109" si="13">SUMIF($V$3:$V$107,"="&amp;$J109&amp;$K109,M$3:M$107)</f>
        <v>3453263.2838000003</v>
      </c>
      <c r="N109" s="24">
        <f t="shared" si="13"/>
        <v>0</v>
      </c>
      <c r="O109" s="24">
        <f t="shared" si="13"/>
        <v>17832369.822700001</v>
      </c>
      <c r="P109" s="24">
        <f t="shared" si="13"/>
        <v>0</v>
      </c>
      <c r="Q109" s="24">
        <f t="shared" si="13"/>
        <v>0</v>
      </c>
      <c r="R109" s="24">
        <f t="shared" si="13"/>
        <v>0</v>
      </c>
      <c r="S109" s="2"/>
      <c r="T109" s="2" t="str">
        <f t="shared" ref="T109:T123" ca="1" si="14">VLOOKUP(K109,$W$3:$X$7,2,FALSE)</f>
        <v>Mobile Home</v>
      </c>
      <c r="U109" s="2" t="str">
        <f t="shared" ref="U109:U123" ca="1" si="15">J109&amp;T109</f>
        <v>GreeneMobile Home</v>
      </c>
    </row>
    <row r="110" spans="10:22">
      <c r="J110" s="2" t="str">
        <f>MID(J10,5,FIND(" County",J10)-5)</f>
        <v>Greene</v>
      </c>
      <c r="K110" s="2" t="s">
        <v>379</v>
      </c>
      <c r="L110" s="2" t="s">
        <v>32</v>
      </c>
      <c r="M110" s="24">
        <f t="shared" ref="M110:R110" si="16">SUMIF($V$3:$V$107,"="&amp;$J110&amp;$K110,M$3:M$107)</f>
        <v>32964875.711000003</v>
      </c>
      <c r="N110" s="24">
        <f t="shared" si="16"/>
        <v>0</v>
      </c>
      <c r="O110" s="24">
        <f t="shared" si="16"/>
        <v>37156386.126500003</v>
      </c>
      <c r="P110" s="24">
        <f t="shared" si="16"/>
        <v>421926.37030000001</v>
      </c>
      <c r="Q110" s="24">
        <f t="shared" si="16"/>
        <v>0</v>
      </c>
      <c r="R110" s="24">
        <f t="shared" si="16"/>
        <v>0</v>
      </c>
      <c r="S110" s="2"/>
      <c r="T110" s="2" t="str">
        <f t="shared" ca="1" si="14"/>
        <v>Multi-Family Apartment</v>
      </c>
      <c r="U110" s="2" t="str">
        <f t="shared" ca="1" si="15"/>
        <v>GreeneMulti-Family Apartment</v>
      </c>
    </row>
    <row r="111" spans="10:22">
      <c r="J111" s="2" t="str">
        <f>MID(J17,5,FIND(" County",J17)-5)</f>
        <v>Greene</v>
      </c>
      <c r="K111" s="2" t="s">
        <v>384</v>
      </c>
      <c r="L111" s="2" t="s">
        <v>32</v>
      </c>
      <c r="M111" s="24">
        <f t="shared" ref="M111:R111" si="17">SUMIF($V$3:$V$107,"="&amp;$J111&amp;$K111,M$3:M$107)</f>
        <v>74177073.023999989</v>
      </c>
      <c r="N111" s="24">
        <f t="shared" si="17"/>
        <v>0</v>
      </c>
      <c r="O111" s="24">
        <f t="shared" si="17"/>
        <v>39095248.754000001</v>
      </c>
      <c r="P111" s="24">
        <f t="shared" si="17"/>
        <v>1268155.1487</v>
      </c>
      <c r="Q111" s="24">
        <f t="shared" si="17"/>
        <v>0</v>
      </c>
      <c r="R111" s="24">
        <f t="shared" si="17"/>
        <v>0</v>
      </c>
      <c r="S111" s="2"/>
      <c r="T111" s="2" t="str">
        <f t="shared" ca="1" si="14"/>
        <v>Multi-Family Apartment</v>
      </c>
      <c r="U111" s="2" t="str">
        <f t="shared" ca="1" si="15"/>
        <v>GreeneMulti-Family Apartment</v>
      </c>
    </row>
    <row r="112" spans="10:22">
      <c r="J112" s="2" t="str">
        <f>MID(J24,5,FIND(" County",J24)-5)</f>
        <v>Greene</v>
      </c>
      <c r="K112" s="2" t="s">
        <v>385</v>
      </c>
      <c r="L112" s="2" t="s">
        <v>32</v>
      </c>
      <c r="M112" s="24">
        <f t="shared" ref="M112:R112" si="18">SUMIF($V$3:$V$107,"="&amp;$J112&amp;$K112,M$3:M$107)</f>
        <v>29635530.594999999</v>
      </c>
      <c r="N112" s="24">
        <f t="shared" si="18"/>
        <v>0</v>
      </c>
      <c r="O112" s="24">
        <f t="shared" si="18"/>
        <v>29667682.298999999</v>
      </c>
      <c r="P112" s="24">
        <f t="shared" si="18"/>
        <v>0</v>
      </c>
      <c r="Q112" s="24">
        <f t="shared" si="18"/>
        <v>0</v>
      </c>
      <c r="R112" s="24">
        <f t="shared" si="18"/>
        <v>0</v>
      </c>
      <c r="S112" s="2"/>
      <c r="T112" s="2" t="str">
        <f t="shared" ca="1" si="14"/>
        <v>Attached Condo Building</v>
      </c>
      <c r="U112" s="2" t="str">
        <f t="shared" ca="1" si="15"/>
        <v>GreeneAttached Condo Building</v>
      </c>
    </row>
    <row r="113" spans="10:21">
      <c r="J113" s="2" t="str">
        <f>MID(J31,5,FIND(" County",J31)-5)</f>
        <v>Greene</v>
      </c>
      <c r="K113" s="2" t="s">
        <v>386</v>
      </c>
      <c r="L113" s="2" t="s">
        <v>32</v>
      </c>
      <c r="M113" s="24">
        <f t="shared" ref="M113:R113" si="19">SUMIF($V$3:$V$107,"="&amp;$J113&amp;$K113,M$3:M$107)</f>
        <v>687412743.86999989</v>
      </c>
      <c r="N113" s="24">
        <f t="shared" si="19"/>
        <v>58100034.240000002</v>
      </c>
      <c r="O113" s="24">
        <f t="shared" si="19"/>
        <v>1120885935.0976</v>
      </c>
      <c r="P113" s="24">
        <f t="shared" si="19"/>
        <v>103528867.75299999</v>
      </c>
      <c r="Q113" s="24">
        <f t="shared" si="19"/>
        <v>0</v>
      </c>
      <c r="R113" s="24">
        <f t="shared" si="19"/>
        <v>0</v>
      </c>
      <c r="S113" s="2"/>
      <c r="T113" s="2" t="str">
        <f t="shared" ca="1" si="14"/>
        <v>Single-Family Housing</v>
      </c>
      <c r="U113" s="2" t="str">
        <f t="shared" ca="1" si="15"/>
        <v>GreeneSingle-Family Housing</v>
      </c>
    </row>
    <row r="114" spans="10:21">
      <c r="J114" s="2" t="str">
        <f>MID(J38,5,FIND(" County",J38)-5)</f>
        <v>Miami</v>
      </c>
      <c r="K114" s="2" t="s">
        <v>368</v>
      </c>
      <c r="L114" s="2" t="s">
        <v>32</v>
      </c>
      <c r="M114" s="24">
        <f t="shared" ref="M114:R114" si="20">SUMIF($V$3:$V$107,"="&amp;$J114&amp;$K114,M$3:M$107)</f>
        <v>4019863.2464999999</v>
      </c>
      <c r="N114" s="24">
        <f t="shared" si="20"/>
        <v>0</v>
      </c>
      <c r="O114" s="24">
        <f t="shared" si="20"/>
        <v>8629595.5088</v>
      </c>
      <c r="P114" s="24">
        <f t="shared" si="20"/>
        <v>0</v>
      </c>
      <c r="Q114" s="24">
        <f t="shared" si="20"/>
        <v>0</v>
      </c>
      <c r="R114" s="24">
        <f t="shared" si="20"/>
        <v>0</v>
      </c>
      <c r="S114" s="2"/>
      <c r="T114" s="2" t="str">
        <f t="shared" ca="1" si="14"/>
        <v>Mobile Home</v>
      </c>
      <c r="U114" s="2" t="str">
        <f t="shared" ca="1" si="15"/>
        <v>MiamiMobile Home</v>
      </c>
    </row>
    <row r="115" spans="10:21">
      <c r="J115" s="2" t="str">
        <f>MID(J45,5,FIND(" County",J45)-5)</f>
        <v>Miami</v>
      </c>
      <c r="K115" s="2" t="s">
        <v>379</v>
      </c>
      <c r="L115" s="2" t="s">
        <v>32</v>
      </c>
      <c r="M115" s="24">
        <f t="shared" ref="M115:R115" si="21">SUMIF($V$3:$V$107,"="&amp;$J115&amp;$K115,M$3:M$107)</f>
        <v>37685298.833000004</v>
      </c>
      <c r="N115" s="24">
        <f t="shared" si="21"/>
        <v>0</v>
      </c>
      <c r="O115" s="24">
        <f t="shared" si="21"/>
        <v>32973536.376899999</v>
      </c>
      <c r="P115" s="24">
        <f t="shared" si="21"/>
        <v>0</v>
      </c>
      <c r="Q115" s="24">
        <f t="shared" si="21"/>
        <v>0</v>
      </c>
      <c r="R115" s="24">
        <f t="shared" si="21"/>
        <v>0</v>
      </c>
      <c r="S115" s="2"/>
      <c r="T115" s="2" t="str">
        <f t="shared" ca="1" si="14"/>
        <v>Multi-Family Apartment</v>
      </c>
      <c r="U115" s="2" t="str">
        <f t="shared" ca="1" si="15"/>
        <v>MiamiMulti-Family Apartment</v>
      </c>
    </row>
    <row r="116" spans="10:21">
      <c r="J116" s="2" t="str">
        <f>MID(J52,5,FIND(" County",J52)-5)</f>
        <v>Miami</v>
      </c>
      <c r="K116" s="2" t="s">
        <v>384</v>
      </c>
      <c r="L116" s="2" t="s">
        <v>32</v>
      </c>
      <c r="M116" s="24">
        <f t="shared" ref="M116:R116" si="22">SUMIF($V$3:$V$107,"="&amp;$J116&amp;$K116,M$3:M$107)</f>
        <v>32518522.742200002</v>
      </c>
      <c r="N116" s="24">
        <f t="shared" si="22"/>
        <v>0</v>
      </c>
      <c r="O116" s="24">
        <f t="shared" si="22"/>
        <v>4204112.7938999999</v>
      </c>
      <c r="P116" s="24">
        <f t="shared" si="22"/>
        <v>1349478.3359999999</v>
      </c>
      <c r="Q116" s="24">
        <f t="shared" si="22"/>
        <v>0</v>
      </c>
      <c r="R116" s="24">
        <f t="shared" si="22"/>
        <v>0</v>
      </c>
      <c r="S116" s="2"/>
      <c r="T116" s="2" t="str">
        <f t="shared" ca="1" si="14"/>
        <v>Multi-Family Apartment</v>
      </c>
      <c r="U116" s="2" t="str">
        <f t="shared" ca="1" si="15"/>
        <v>MiamiMulti-Family Apartment</v>
      </c>
    </row>
    <row r="117" spans="10:21">
      <c r="J117" s="2" t="str">
        <f>MID(J59,5,FIND(" County",J59)-5)</f>
        <v>Miami</v>
      </c>
      <c r="K117" s="2" t="s">
        <v>385</v>
      </c>
      <c r="L117" s="2" t="s">
        <v>32</v>
      </c>
      <c r="M117" s="24">
        <f t="shared" ref="M117:R117" si="23">SUMIF($V$3:$V$107,"="&amp;$J117&amp;$K117,M$3:M$107)</f>
        <v>15662508.483699998</v>
      </c>
      <c r="N117" s="24">
        <f t="shared" si="23"/>
        <v>0</v>
      </c>
      <c r="O117" s="24">
        <f t="shared" si="23"/>
        <v>37691651.973999999</v>
      </c>
      <c r="P117" s="24">
        <f t="shared" si="23"/>
        <v>0</v>
      </c>
      <c r="Q117" s="24">
        <f t="shared" si="23"/>
        <v>0</v>
      </c>
      <c r="R117" s="24">
        <f t="shared" si="23"/>
        <v>0</v>
      </c>
      <c r="S117" s="2"/>
      <c r="T117" s="2" t="str">
        <f t="shared" ca="1" si="14"/>
        <v>Attached Condo Building</v>
      </c>
      <c r="U117" s="2" t="str">
        <f t="shared" ca="1" si="15"/>
        <v>MiamiAttached Condo Building</v>
      </c>
    </row>
    <row r="118" spans="10:21">
      <c r="J118" s="2" t="str">
        <f>MID(J63,5,FIND(" County",J63)-5)</f>
        <v>Miami</v>
      </c>
      <c r="K118" s="2" t="s">
        <v>386</v>
      </c>
      <c r="L118" s="2" t="s">
        <v>32</v>
      </c>
      <c r="M118" s="24">
        <f t="shared" ref="M118:R118" si="24">SUMIF($V$3:$V$107,"="&amp;$J118&amp;$K118,M$3:M$107)</f>
        <v>456134663.55000001</v>
      </c>
      <c r="N118" s="24">
        <f t="shared" si="24"/>
        <v>38986451.666000001</v>
      </c>
      <c r="O118" s="24">
        <f t="shared" si="24"/>
        <v>781652873.63369989</v>
      </c>
      <c r="P118" s="24">
        <f t="shared" si="24"/>
        <v>142104221.14899999</v>
      </c>
      <c r="Q118" s="24">
        <f t="shared" si="24"/>
        <v>0</v>
      </c>
      <c r="R118" s="24">
        <f t="shared" si="24"/>
        <v>0</v>
      </c>
      <c r="S118" s="2"/>
      <c r="T118" s="2" t="str">
        <f t="shared" ca="1" si="14"/>
        <v>Single-Family Housing</v>
      </c>
      <c r="U118" s="2" t="str">
        <f t="shared" ca="1" si="15"/>
        <v>MiamiSingle-Family Housing</v>
      </c>
    </row>
    <row r="119" spans="10:21">
      <c r="J119" s="2" t="str">
        <f>MID(J73,5,FIND(" County",J73)-5)</f>
        <v>Montgomery</v>
      </c>
      <c r="K119" s="2" t="s">
        <v>368</v>
      </c>
      <c r="L119" s="2" t="s">
        <v>32</v>
      </c>
      <c r="M119" s="24">
        <f t="shared" ref="M119:R119" si="25">SUMIF($V$3:$V$107,"="&amp;$J119&amp;$K119,M$3:M$107)</f>
        <v>32097887.748</v>
      </c>
      <c r="N119" s="24">
        <f t="shared" si="25"/>
        <v>0</v>
      </c>
      <c r="O119" s="24">
        <f t="shared" si="25"/>
        <v>55081511.235699996</v>
      </c>
      <c r="P119" s="24">
        <f t="shared" si="25"/>
        <v>2659910.1315000001</v>
      </c>
      <c r="Q119" s="24">
        <f t="shared" si="25"/>
        <v>0</v>
      </c>
      <c r="R119" s="24">
        <f t="shared" si="25"/>
        <v>0</v>
      </c>
      <c r="S119" s="2"/>
      <c r="T119" s="2" t="str">
        <f t="shared" ca="1" si="14"/>
        <v>Mobile Home</v>
      </c>
      <c r="U119" s="2" t="str">
        <f t="shared" ca="1" si="15"/>
        <v>MontgomeryMobile Home</v>
      </c>
    </row>
    <row r="120" spans="10:21">
      <c r="J120" s="2" t="str">
        <f>MID(J77,5,FIND(" County",J77)-5)</f>
        <v>Montgomery</v>
      </c>
      <c r="K120" s="2" t="s">
        <v>379</v>
      </c>
      <c r="L120" s="2" t="s">
        <v>32</v>
      </c>
      <c r="M120" s="24">
        <f t="shared" ref="M120:R120" si="26">SUMIF($V$3:$V$107,"="&amp;$J120&amp;$K120,M$3:M$107)</f>
        <v>177442375.85700002</v>
      </c>
      <c r="N120" s="24">
        <f t="shared" si="26"/>
        <v>0</v>
      </c>
      <c r="O120" s="24">
        <f t="shared" si="26"/>
        <v>237121793.11000001</v>
      </c>
      <c r="P120" s="24">
        <f t="shared" si="26"/>
        <v>682917.54509999999</v>
      </c>
      <c r="Q120" s="24">
        <f t="shared" si="26"/>
        <v>0</v>
      </c>
      <c r="R120" s="24">
        <f t="shared" si="26"/>
        <v>0</v>
      </c>
      <c r="S120" s="2"/>
      <c r="T120" s="2" t="str">
        <f t="shared" ca="1" si="14"/>
        <v>Multi-Family Apartment</v>
      </c>
      <c r="U120" s="2" t="str">
        <f t="shared" ca="1" si="15"/>
        <v>MontgomeryMulti-Family Apartment</v>
      </c>
    </row>
    <row r="121" spans="10:21">
      <c r="J121" s="2" t="str">
        <f>MID(J84,5,FIND(" County",J84)-5)</f>
        <v>Montgomery</v>
      </c>
      <c r="K121" s="2" t="s">
        <v>384</v>
      </c>
      <c r="L121" s="2" t="s">
        <v>32</v>
      </c>
      <c r="M121" s="24">
        <f t="shared" ref="M121:R121" si="27">SUMIF($V$3:$V$107,"="&amp;$J121&amp;$K121,M$3:M$107)</f>
        <v>324466194.241</v>
      </c>
      <c r="N121" s="24">
        <f t="shared" si="27"/>
        <v>0</v>
      </c>
      <c r="O121" s="24">
        <f t="shared" si="27"/>
        <v>218141079.03980002</v>
      </c>
      <c r="P121" s="24">
        <f t="shared" si="27"/>
        <v>1457212.138</v>
      </c>
      <c r="Q121" s="24">
        <f t="shared" si="27"/>
        <v>0</v>
      </c>
      <c r="R121" s="24">
        <f t="shared" si="27"/>
        <v>0</v>
      </c>
      <c r="S121" s="2"/>
      <c r="T121" s="2" t="str">
        <f t="shared" ca="1" si="14"/>
        <v>Multi-Family Apartment</v>
      </c>
      <c r="U121" s="2" t="str">
        <f t="shared" ca="1" si="15"/>
        <v>MontgomeryMulti-Family Apartment</v>
      </c>
    </row>
    <row r="122" spans="10:21">
      <c r="J122" s="2" t="str">
        <f>MID(J91,5,FIND(" County",J91)-5)</f>
        <v>Montgomery</v>
      </c>
      <c r="K122" s="2" t="s">
        <v>385</v>
      </c>
      <c r="L122" s="2" t="s">
        <v>32</v>
      </c>
      <c r="M122" s="24">
        <f t="shared" ref="M122:R122" si="28">SUMIF($V$3:$V$107,"="&amp;$J122&amp;$K122,M$3:M$107)</f>
        <v>126357589.785</v>
      </c>
      <c r="N122" s="24">
        <f t="shared" si="28"/>
        <v>0</v>
      </c>
      <c r="O122" s="24">
        <f t="shared" si="28"/>
        <v>221972713.111</v>
      </c>
      <c r="P122" s="24">
        <f t="shared" si="28"/>
        <v>181201.64670000001</v>
      </c>
      <c r="Q122" s="24">
        <f t="shared" si="28"/>
        <v>0</v>
      </c>
      <c r="R122" s="24">
        <f t="shared" si="28"/>
        <v>0</v>
      </c>
      <c r="S122" s="2"/>
      <c r="T122" s="2" t="str">
        <f t="shared" ca="1" si="14"/>
        <v>Attached Condo Building</v>
      </c>
      <c r="U122" s="2" t="str">
        <f t="shared" ca="1" si="15"/>
        <v>MontgomeryAttached Condo Building</v>
      </c>
    </row>
    <row r="123" spans="10:21">
      <c r="J123" s="2" t="str">
        <f>MID(J101,5,FIND(" County",J101)-5)</f>
        <v>Montgomery</v>
      </c>
      <c r="K123" s="2" t="s">
        <v>386</v>
      </c>
      <c r="L123" s="2" t="s">
        <v>32</v>
      </c>
      <c r="M123" s="24">
        <f t="shared" ref="M123:R123" si="29">SUMIF($V$3:$V$107,"="&amp;$J123&amp;$K123,M$3:M$107)</f>
        <v>2037033360.7</v>
      </c>
      <c r="N123" s="24">
        <f t="shared" si="29"/>
        <v>90037913.489999995</v>
      </c>
      <c r="O123" s="24">
        <f t="shared" si="29"/>
        <v>4876894008.743</v>
      </c>
      <c r="P123" s="24">
        <f t="shared" si="29"/>
        <v>151001985.43700001</v>
      </c>
      <c r="Q123" s="24">
        <f t="shared" si="29"/>
        <v>0</v>
      </c>
      <c r="R123" s="24">
        <f t="shared" si="29"/>
        <v>0</v>
      </c>
      <c r="S123" s="2"/>
      <c r="T123" s="2" t="str">
        <f t="shared" ca="1" si="14"/>
        <v>Single-Family Housing</v>
      </c>
      <c r="U123" s="2" t="str">
        <f t="shared" ca="1" si="15"/>
        <v>MontgomerySingle-Family Housing</v>
      </c>
    </row>
    <row r="284" spans="10:21">
      <c r="J284" s="20" t="s">
        <v>390</v>
      </c>
      <c r="K284" s="20" t="s">
        <v>368</v>
      </c>
      <c r="L284" s="20" t="s">
        <v>32</v>
      </c>
      <c r="M284" s="20">
        <f t="shared" ref="M284:R284" si="30">SUMIF($V$3:$V$282,"="&amp;$J284&amp;$K284,M$3:M$282)</f>
        <v>0</v>
      </c>
      <c r="N284" s="20">
        <f t="shared" si="30"/>
        <v>0</v>
      </c>
      <c r="O284" s="20">
        <f t="shared" si="30"/>
        <v>0</v>
      </c>
      <c r="P284" s="20">
        <f t="shared" si="30"/>
        <v>0</v>
      </c>
      <c r="Q284" s="20">
        <f t="shared" si="30"/>
        <v>0</v>
      </c>
      <c r="R284" s="20">
        <f t="shared" si="30"/>
        <v>0</v>
      </c>
      <c r="T284" s="20" t="str">
        <f t="shared" ref="T284:T323" ca="1" si="31">VLOOKUP(K284,$W$3:$X$7,2,FALSE)</f>
        <v>Mobile Home</v>
      </c>
      <c r="U284" s="20" t="str">
        <f t="shared" ref="U284:U323" ca="1" si="32">J284&amp;T284</f>
        <v>LapeerMobile Home</v>
      </c>
    </row>
    <row r="285" spans="10:21">
      <c r="J285" s="20" t="s">
        <v>390</v>
      </c>
      <c r="K285" s="20" t="s">
        <v>379</v>
      </c>
      <c r="L285" s="20" t="s">
        <v>32</v>
      </c>
      <c r="M285" s="20">
        <f t="shared" ref="M285:R285" si="33">SUMIF($V$3:$V$282,"="&amp;$J285&amp;$K285,M$3:M$282)</f>
        <v>0</v>
      </c>
      <c r="N285" s="20">
        <f t="shared" si="33"/>
        <v>0</v>
      </c>
      <c r="O285" s="20">
        <f t="shared" si="33"/>
        <v>0</v>
      </c>
      <c r="P285" s="20">
        <f t="shared" si="33"/>
        <v>0</v>
      </c>
      <c r="Q285" s="20">
        <f t="shared" si="33"/>
        <v>0</v>
      </c>
      <c r="R285" s="20">
        <f t="shared" si="33"/>
        <v>0</v>
      </c>
      <c r="T285" s="20" t="str">
        <f t="shared" ca="1" si="31"/>
        <v>Multi-Family Apartment</v>
      </c>
      <c r="U285" s="20" t="str">
        <f t="shared" ca="1" si="32"/>
        <v>LapeerMulti-Family Apartment</v>
      </c>
    </row>
    <row r="286" spans="10:21">
      <c r="J286" s="20" t="s">
        <v>390</v>
      </c>
      <c r="K286" s="20" t="s">
        <v>384</v>
      </c>
      <c r="L286" s="20" t="s">
        <v>32</v>
      </c>
      <c r="M286" s="20">
        <f t="shared" ref="M286:R286" si="34">SUMIF($V$3:$V$282,"="&amp;$J286&amp;$K286,M$3:M$282)</f>
        <v>0</v>
      </c>
      <c r="N286" s="20">
        <f t="shared" si="34"/>
        <v>0</v>
      </c>
      <c r="O286" s="20">
        <f t="shared" si="34"/>
        <v>0</v>
      </c>
      <c r="P286" s="20">
        <f t="shared" si="34"/>
        <v>0</v>
      </c>
      <c r="Q286" s="20">
        <f t="shared" si="34"/>
        <v>0</v>
      </c>
      <c r="R286" s="20">
        <f t="shared" si="34"/>
        <v>0</v>
      </c>
      <c r="T286" s="20" t="str">
        <f t="shared" ca="1" si="31"/>
        <v>Multi-Family Apartment</v>
      </c>
      <c r="U286" s="20" t="str">
        <f t="shared" ca="1" si="32"/>
        <v>LapeerMulti-Family Apartment</v>
      </c>
    </row>
    <row r="287" spans="10:21">
      <c r="J287" s="20" t="s">
        <v>390</v>
      </c>
      <c r="K287" s="20" t="s">
        <v>385</v>
      </c>
      <c r="L287" s="20" t="s">
        <v>32</v>
      </c>
      <c r="M287" s="20">
        <f t="shared" ref="M287:R287" si="35">SUMIF($V$3:$V$282,"="&amp;$J287&amp;$K287,M$3:M$282)</f>
        <v>0</v>
      </c>
      <c r="N287" s="20">
        <f t="shared" si="35"/>
        <v>0</v>
      </c>
      <c r="O287" s="20">
        <f t="shared" si="35"/>
        <v>0</v>
      </c>
      <c r="P287" s="20">
        <f t="shared" si="35"/>
        <v>0</v>
      </c>
      <c r="Q287" s="20">
        <f t="shared" si="35"/>
        <v>0</v>
      </c>
      <c r="R287" s="20">
        <f t="shared" si="35"/>
        <v>0</v>
      </c>
      <c r="T287" s="20" t="str">
        <f t="shared" ca="1" si="31"/>
        <v>Attached Condo Building</v>
      </c>
      <c r="U287" s="20" t="str">
        <f t="shared" ca="1" si="32"/>
        <v>LapeerAttached Condo Building</v>
      </c>
    </row>
    <row r="288" spans="10:21">
      <c r="J288" s="20" t="s">
        <v>390</v>
      </c>
      <c r="K288" s="20" t="s">
        <v>386</v>
      </c>
      <c r="L288" s="20" t="s">
        <v>32</v>
      </c>
      <c r="M288" s="20">
        <f t="shared" ref="M288:R288" si="36">SUMIF($V$3:$V$282,"="&amp;$J288&amp;$K288,M$3:M$282)</f>
        <v>0</v>
      </c>
      <c r="N288" s="20">
        <f t="shared" si="36"/>
        <v>0</v>
      </c>
      <c r="O288" s="20">
        <f t="shared" si="36"/>
        <v>0</v>
      </c>
      <c r="P288" s="20">
        <f t="shared" si="36"/>
        <v>0</v>
      </c>
      <c r="Q288" s="20">
        <f t="shared" si="36"/>
        <v>0</v>
      </c>
      <c r="R288" s="20">
        <f t="shared" si="36"/>
        <v>0</v>
      </c>
      <c r="T288" s="20" t="str">
        <f t="shared" ca="1" si="31"/>
        <v>Single-Family Housing</v>
      </c>
      <c r="U288" s="20" t="str">
        <f t="shared" ca="1" si="32"/>
        <v>LapeerSingle-Family Housing</v>
      </c>
    </row>
    <row r="289" spans="10:21">
      <c r="J289" s="20" t="s">
        <v>392</v>
      </c>
      <c r="K289" s="2" t="s">
        <v>368</v>
      </c>
      <c r="L289" s="20" t="s">
        <v>32</v>
      </c>
      <c r="M289" s="20">
        <f t="shared" ref="M289:R289" si="37">SUMIF($V$3:$V$282,"="&amp;$J289&amp;$K289,M$3:M$282)</f>
        <v>0</v>
      </c>
      <c r="N289" s="20">
        <f t="shared" si="37"/>
        <v>0</v>
      </c>
      <c r="O289" s="20">
        <f t="shared" si="37"/>
        <v>0</v>
      </c>
      <c r="P289" s="20">
        <f t="shared" si="37"/>
        <v>0</v>
      </c>
      <c r="Q289" s="20">
        <f t="shared" si="37"/>
        <v>0</v>
      </c>
      <c r="R289" s="20">
        <f t="shared" si="37"/>
        <v>0</v>
      </c>
      <c r="T289" s="20" t="str">
        <f t="shared" ca="1" si="31"/>
        <v>Mobile Home</v>
      </c>
      <c r="U289" s="20" t="str">
        <f t="shared" ca="1" si="32"/>
        <v>LivingstonMobile Home</v>
      </c>
    </row>
    <row r="290" spans="10:21">
      <c r="J290" s="20" t="s">
        <v>392</v>
      </c>
      <c r="K290" s="2" t="s">
        <v>379</v>
      </c>
      <c r="L290" s="20" t="s">
        <v>32</v>
      </c>
      <c r="M290" s="20">
        <f t="shared" ref="M290:R290" si="38">SUMIF($V$3:$V$282,"="&amp;$J290&amp;$K290,M$3:M$282)</f>
        <v>0</v>
      </c>
      <c r="N290" s="20">
        <f t="shared" si="38"/>
        <v>0</v>
      </c>
      <c r="O290" s="20">
        <f t="shared" si="38"/>
        <v>0</v>
      </c>
      <c r="P290" s="20">
        <f t="shared" si="38"/>
        <v>0</v>
      </c>
      <c r="Q290" s="20">
        <f t="shared" si="38"/>
        <v>0</v>
      </c>
      <c r="R290" s="20">
        <f t="shared" si="38"/>
        <v>0</v>
      </c>
      <c r="T290" s="20" t="str">
        <f t="shared" ca="1" si="31"/>
        <v>Multi-Family Apartment</v>
      </c>
      <c r="U290" s="20" t="str">
        <f t="shared" ca="1" si="32"/>
        <v>LivingstonMulti-Family Apartment</v>
      </c>
    </row>
    <row r="291" spans="10:21">
      <c r="J291" s="20" t="s">
        <v>392</v>
      </c>
      <c r="K291" s="2" t="s">
        <v>384</v>
      </c>
      <c r="L291" s="20" t="s">
        <v>32</v>
      </c>
      <c r="M291" s="20">
        <f t="shared" ref="M291:R291" si="39">SUMIF($V$3:$V$282,"="&amp;$J291&amp;$K291,M$3:M$282)</f>
        <v>0</v>
      </c>
      <c r="N291" s="20">
        <f t="shared" si="39"/>
        <v>0</v>
      </c>
      <c r="O291" s="20">
        <f t="shared" si="39"/>
        <v>0</v>
      </c>
      <c r="P291" s="20">
        <f t="shared" si="39"/>
        <v>0</v>
      </c>
      <c r="Q291" s="20">
        <f t="shared" si="39"/>
        <v>0</v>
      </c>
      <c r="R291" s="20">
        <f t="shared" si="39"/>
        <v>0</v>
      </c>
      <c r="T291" s="20" t="str">
        <f t="shared" ca="1" si="31"/>
        <v>Multi-Family Apartment</v>
      </c>
      <c r="U291" s="20" t="str">
        <f t="shared" ca="1" si="32"/>
        <v>LivingstonMulti-Family Apartment</v>
      </c>
    </row>
    <row r="292" spans="10:21">
      <c r="J292" s="20" t="s">
        <v>392</v>
      </c>
      <c r="K292" s="2" t="s">
        <v>385</v>
      </c>
      <c r="L292" s="20" t="s">
        <v>32</v>
      </c>
      <c r="M292" s="20">
        <f t="shared" ref="M292:R292" si="40">SUMIF($V$3:$V$282,"="&amp;$J292&amp;$K292,M$3:M$282)</f>
        <v>0</v>
      </c>
      <c r="N292" s="20">
        <f t="shared" si="40"/>
        <v>0</v>
      </c>
      <c r="O292" s="20">
        <f t="shared" si="40"/>
        <v>0</v>
      </c>
      <c r="P292" s="20">
        <f t="shared" si="40"/>
        <v>0</v>
      </c>
      <c r="Q292" s="20">
        <f t="shared" si="40"/>
        <v>0</v>
      </c>
      <c r="R292" s="20">
        <f t="shared" si="40"/>
        <v>0</v>
      </c>
      <c r="T292" s="20" t="str">
        <f t="shared" ca="1" si="31"/>
        <v>Attached Condo Building</v>
      </c>
      <c r="U292" s="20" t="str">
        <f t="shared" ca="1" si="32"/>
        <v>LivingstonAttached Condo Building</v>
      </c>
    </row>
    <row r="293" spans="10:21">
      <c r="J293" s="20" t="s">
        <v>392</v>
      </c>
      <c r="K293" s="2" t="s">
        <v>386</v>
      </c>
      <c r="L293" s="20" t="s">
        <v>32</v>
      </c>
      <c r="M293" s="20">
        <f t="shared" ref="M293:R293" si="41">SUMIF($V$3:$V$282,"="&amp;$J293&amp;$K293,M$3:M$282)</f>
        <v>0</v>
      </c>
      <c r="N293" s="20">
        <f t="shared" si="41"/>
        <v>0</v>
      </c>
      <c r="O293" s="20">
        <f t="shared" si="41"/>
        <v>0</v>
      </c>
      <c r="P293" s="20">
        <f t="shared" si="41"/>
        <v>0</v>
      </c>
      <c r="Q293" s="20">
        <f t="shared" si="41"/>
        <v>0</v>
      </c>
      <c r="R293" s="20">
        <f t="shared" si="41"/>
        <v>0</v>
      </c>
      <c r="T293" s="20" t="str">
        <f t="shared" ca="1" si="31"/>
        <v>Single-Family Housing</v>
      </c>
      <c r="U293" s="20" t="str">
        <f t="shared" ca="1" si="32"/>
        <v>LivingstonSingle-Family Housing</v>
      </c>
    </row>
    <row r="294" spans="10:21">
      <c r="J294" s="20" t="s">
        <v>393</v>
      </c>
      <c r="K294" s="2" t="s">
        <v>368</v>
      </c>
      <c r="L294" s="20" t="s">
        <v>32</v>
      </c>
      <c r="M294" s="20">
        <f t="shared" ref="M294:R294" si="42">SUMIF($V$3:$V$282,"="&amp;$J294&amp;$K294,M$3:M$282)</f>
        <v>0</v>
      </c>
      <c r="N294" s="20">
        <f t="shared" si="42"/>
        <v>0</v>
      </c>
      <c r="O294" s="20">
        <f t="shared" si="42"/>
        <v>0</v>
      </c>
      <c r="P294" s="20">
        <f t="shared" si="42"/>
        <v>0</v>
      </c>
      <c r="Q294" s="20">
        <f t="shared" si="42"/>
        <v>0</v>
      </c>
      <c r="R294" s="20">
        <f t="shared" si="42"/>
        <v>0</v>
      </c>
      <c r="T294" s="20" t="str">
        <f t="shared" ca="1" si="31"/>
        <v>Mobile Home</v>
      </c>
      <c r="U294" s="20" t="str">
        <f t="shared" ca="1" si="32"/>
        <v>MacombMobile Home</v>
      </c>
    </row>
    <row r="295" spans="10:21">
      <c r="J295" s="20" t="s">
        <v>393</v>
      </c>
      <c r="K295" s="2" t="s">
        <v>379</v>
      </c>
      <c r="L295" s="20" t="s">
        <v>32</v>
      </c>
      <c r="M295" s="20">
        <f t="shared" ref="M295:R295" si="43">SUMIF($V$3:$V$282,"="&amp;$J295&amp;$K295,M$3:M$282)</f>
        <v>0</v>
      </c>
      <c r="N295" s="20">
        <f t="shared" si="43"/>
        <v>0</v>
      </c>
      <c r="O295" s="20">
        <f t="shared" si="43"/>
        <v>0</v>
      </c>
      <c r="P295" s="20">
        <f t="shared" si="43"/>
        <v>0</v>
      </c>
      <c r="Q295" s="20">
        <f t="shared" si="43"/>
        <v>0</v>
      </c>
      <c r="R295" s="20">
        <f t="shared" si="43"/>
        <v>0</v>
      </c>
      <c r="T295" s="20" t="str">
        <f t="shared" ca="1" si="31"/>
        <v>Multi-Family Apartment</v>
      </c>
      <c r="U295" s="20" t="str">
        <f t="shared" ca="1" si="32"/>
        <v>MacombMulti-Family Apartment</v>
      </c>
    </row>
    <row r="296" spans="10:21">
      <c r="J296" s="20" t="s">
        <v>393</v>
      </c>
      <c r="K296" s="2" t="s">
        <v>384</v>
      </c>
      <c r="L296" s="20" t="s">
        <v>32</v>
      </c>
      <c r="M296" s="20">
        <f t="shared" ref="M296:R296" si="44">SUMIF($V$3:$V$282,"="&amp;$J296&amp;$K296,M$3:M$282)</f>
        <v>0</v>
      </c>
      <c r="N296" s="20">
        <f t="shared" si="44"/>
        <v>0</v>
      </c>
      <c r="O296" s="20">
        <f t="shared" si="44"/>
        <v>0</v>
      </c>
      <c r="P296" s="20">
        <f t="shared" si="44"/>
        <v>0</v>
      </c>
      <c r="Q296" s="20">
        <f t="shared" si="44"/>
        <v>0</v>
      </c>
      <c r="R296" s="20">
        <f t="shared" si="44"/>
        <v>0</v>
      </c>
      <c r="T296" s="20" t="str">
        <f t="shared" ca="1" si="31"/>
        <v>Multi-Family Apartment</v>
      </c>
      <c r="U296" s="20" t="str">
        <f t="shared" ca="1" si="32"/>
        <v>MacombMulti-Family Apartment</v>
      </c>
    </row>
    <row r="297" spans="10:21">
      <c r="J297" s="20" t="s">
        <v>393</v>
      </c>
      <c r="K297" s="2" t="s">
        <v>385</v>
      </c>
      <c r="L297" s="20" t="s">
        <v>32</v>
      </c>
      <c r="M297" s="20">
        <f t="shared" ref="M297:R297" si="45">SUMIF($V$3:$V$282,"="&amp;$J297&amp;$K297,M$3:M$282)</f>
        <v>0</v>
      </c>
      <c r="N297" s="20">
        <f t="shared" si="45"/>
        <v>0</v>
      </c>
      <c r="O297" s="20">
        <f t="shared" si="45"/>
        <v>0</v>
      </c>
      <c r="P297" s="20">
        <f t="shared" si="45"/>
        <v>0</v>
      </c>
      <c r="Q297" s="20">
        <f t="shared" si="45"/>
        <v>0</v>
      </c>
      <c r="R297" s="20">
        <f t="shared" si="45"/>
        <v>0</v>
      </c>
      <c r="T297" s="20" t="str">
        <f t="shared" ca="1" si="31"/>
        <v>Attached Condo Building</v>
      </c>
      <c r="U297" s="20" t="str">
        <f t="shared" ca="1" si="32"/>
        <v>MacombAttached Condo Building</v>
      </c>
    </row>
    <row r="298" spans="10:21">
      <c r="J298" s="20" t="s">
        <v>393</v>
      </c>
      <c r="K298" s="2" t="s">
        <v>386</v>
      </c>
      <c r="L298" s="20" t="s">
        <v>32</v>
      </c>
      <c r="M298" s="20">
        <f t="shared" ref="M298:R298" si="46">SUMIF($V$3:$V$282,"="&amp;$J298&amp;$K298,M$3:M$282)</f>
        <v>0</v>
      </c>
      <c r="N298" s="20">
        <f t="shared" si="46"/>
        <v>0</v>
      </c>
      <c r="O298" s="20">
        <f t="shared" si="46"/>
        <v>0</v>
      </c>
      <c r="P298" s="20">
        <f t="shared" si="46"/>
        <v>0</v>
      </c>
      <c r="Q298" s="20">
        <f t="shared" si="46"/>
        <v>0</v>
      </c>
      <c r="R298" s="20">
        <f t="shared" si="46"/>
        <v>0</v>
      </c>
      <c r="T298" s="20" t="str">
        <f t="shared" ca="1" si="31"/>
        <v>Single-Family Housing</v>
      </c>
      <c r="U298" s="20" t="str">
        <f t="shared" ca="1" si="32"/>
        <v>MacombSingle-Family Housing</v>
      </c>
    </row>
    <row r="299" spans="10:21">
      <c r="J299" s="20" t="s">
        <v>394</v>
      </c>
      <c r="K299" s="2" t="s">
        <v>368</v>
      </c>
      <c r="L299" s="20" t="s">
        <v>32</v>
      </c>
      <c r="M299" s="20">
        <f t="shared" ref="M299:R299" si="47">SUMIF($V$3:$V$282,"="&amp;$J299&amp;$K299,M$3:M$282)</f>
        <v>0</v>
      </c>
      <c r="N299" s="20">
        <f t="shared" si="47"/>
        <v>0</v>
      </c>
      <c r="O299" s="20">
        <f t="shared" si="47"/>
        <v>0</v>
      </c>
      <c r="P299" s="20">
        <f t="shared" si="47"/>
        <v>0</v>
      </c>
      <c r="Q299" s="20">
        <f t="shared" si="47"/>
        <v>0</v>
      </c>
      <c r="R299" s="20">
        <f t="shared" si="47"/>
        <v>0</v>
      </c>
      <c r="T299" s="20" t="str">
        <f t="shared" ca="1" si="31"/>
        <v>Mobile Home</v>
      </c>
      <c r="U299" s="20" t="str">
        <f t="shared" ca="1" si="32"/>
        <v>MonroeMobile Home</v>
      </c>
    </row>
    <row r="300" spans="10:21">
      <c r="J300" s="20" t="s">
        <v>394</v>
      </c>
      <c r="K300" s="2" t="s">
        <v>379</v>
      </c>
      <c r="L300" s="20" t="s">
        <v>32</v>
      </c>
      <c r="M300" s="20">
        <f t="shared" ref="M300:R300" si="48">SUMIF($V$3:$V$282,"="&amp;$J300&amp;$K300,M$3:M$282)</f>
        <v>0</v>
      </c>
      <c r="N300" s="20">
        <f t="shared" si="48"/>
        <v>0</v>
      </c>
      <c r="O300" s="20">
        <f t="shared" si="48"/>
        <v>0</v>
      </c>
      <c r="P300" s="20">
        <f t="shared" si="48"/>
        <v>0</v>
      </c>
      <c r="Q300" s="20">
        <f t="shared" si="48"/>
        <v>0</v>
      </c>
      <c r="R300" s="20">
        <f t="shared" si="48"/>
        <v>0</v>
      </c>
      <c r="T300" s="20" t="str">
        <f t="shared" ca="1" si="31"/>
        <v>Multi-Family Apartment</v>
      </c>
      <c r="U300" s="20" t="str">
        <f t="shared" ca="1" si="32"/>
        <v>MonroeMulti-Family Apartment</v>
      </c>
    </row>
    <row r="301" spans="10:21">
      <c r="J301" s="20" t="s">
        <v>394</v>
      </c>
      <c r="K301" s="2" t="s">
        <v>384</v>
      </c>
      <c r="L301" s="20" t="s">
        <v>32</v>
      </c>
      <c r="M301" s="20">
        <f t="shared" ref="M301:R301" si="49">SUMIF($V$3:$V$282,"="&amp;$J301&amp;$K301,M$3:M$282)</f>
        <v>0</v>
      </c>
      <c r="N301" s="20">
        <f t="shared" si="49"/>
        <v>0</v>
      </c>
      <c r="O301" s="20">
        <f t="shared" si="49"/>
        <v>0</v>
      </c>
      <c r="P301" s="20">
        <f t="shared" si="49"/>
        <v>0</v>
      </c>
      <c r="Q301" s="20">
        <f t="shared" si="49"/>
        <v>0</v>
      </c>
      <c r="R301" s="20">
        <f t="shared" si="49"/>
        <v>0</v>
      </c>
      <c r="T301" s="20" t="str">
        <f t="shared" ca="1" si="31"/>
        <v>Multi-Family Apartment</v>
      </c>
      <c r="U301" s="20" t="str">
        <f t="shared" ca="1" si="32"/>
        <v>MonroeMulti-Family Apartment</v>
      </c>
    </row>
    <row r="302" spans="10:21">
      <c r="J302" s="20" t="s">
        <v>394</v>
      </c>
      <c r="K302" s="2" t="s">
        <v>385</v>
      </c>
      <c r="L302" s="20" t="s">
        <v>32</v>
      </c>
      <c r="M302" s="20">
        <f t="shared" ref="M302:R302" si="50">SUMIF($V$3:$V$282,"="&amp;$J302&amp;$K302,M$3:M$282)</f>
        <v>0</v>
      </c>
      <c r="N302" s="20">
        <f t="shared" si="50"/>
        <v>0</v>
      </c>
      <c r="O302" s="20">
        <f t="shared" si="50"/>
        <v>0</v>
      </c>
      <c r="P302" s="20">
        <f t="shared" si="50"/>
        <v>0</v>
      </c>
      <c r="Q302" s="20">
        <f t="shared" si="50"/>
        <v>0</v>
      </c>
      <c r="R302" s="20">
        <f t="shared" si="50"/>
        <v>0</v>
      </c>
      <c r="T302" s="20" t="str">
        <f t="shared" ca="1" si="31"/>
        <v>Attached Condo Building</v>
      </c>
      <c r="U302" s="20" t="str">
        <f t="shared" ca="1" si="32"/>
        <v>MonroeAttached Condo Building</v>
      </c>
    </row>
    <row r="303" spans="10:21">
      <c r="J303" s="20" t="s">
        <v>394</v>
      </c>
      <c r="K303" s="2" t="s">
        <v>386</v>
      </c>
      <c r="L303" s="20" t="s">
        <v>32</v>
      </c>
      <c r="M303" s="20">
        <f t="shared" ref="M303:R303" si="51">SUMIF($V$3:$V$282,"="&amp;$J303&amp;$K303,M$3:M$282)</f>
        <v>0</v>
      </c>
      <c r="N303" s="20">
        <f t="shared" si="51"/>
        <v>0</v>
      </c>
      <c r="O303" s="20">
        <f t="shared" si="51"/>
        <v>0</v>
      </c>
      <c r="P303" s="20">
        <f t="shared" si="51"/>
        <v>0</v>
      </c>
      <c r="Q303" s="20">
        <f t="shared" si="51"/>
        <v>0</v>
      </c>
      <c r="R303" s="20">
        <f t="shared" si="51"/>
        <v>0</v>
      </c>
      <c r="T303" s="20" t="str">
        <f t="shared" ca="1" si="31"/>
        <v>Single-Family Housing</v>
      </c>
      <c r="U303" s="20" t="str">
        <f t="shared" ca="1" si="32"/>
        <v>MonroeSingle-Family Housing</v>
      </c>
    </row>
    <row r="304" spans="10:21">
      <c r="J304" s="20" t="s">
        <v>395</v>
      </c>
      <c r="K304" s="2" t="s">
        <v>368</v>
      </c>
      <c r="L304" s="20" t="s">
        <v>32</v>
      </c>
      <c r="M304" s="20">
        <f t="shared" ref="M304:R304" si="52">SUMIF($V$3:$V$282,"="&amp;$J304&amp;$K304,M$3:M$282)</f>
        <v>0</v>
      </c>
      <c r="N304" s="20">
        <f t="shared" si="52"/>
        <v>0</v>
      </c>
      <c r="O304" s="20">
        <f t="shared" si="52"/>
        <v>0</v>
      </c>
      <c r="P304" s="20">
        <f t="shared" si="52"/>
        <v>0</v>
      </c>
      <c r="Q304" s="20">
        <f t="shared" si="52"/>
        <v>0</v>
      </c>
      <c r="R304" s="20">
        <f t="shared" si="52"/>
        <v>0</v>
      </c>
      <c r="T304" s="20" t="str">
        <f t="shared" ca="1" si="31"/>
        <v>Mobile Home</v>
      </c>
      <c r="U304" s="20" t="str">
        <f t="shared" ca="1" si="32"/>
        <v>OaklandMobile Home</v>
      </c>
    </row>
    <row r="305" spans="10:21">
      <c r="J305" s="20" t="s">
        <v>395</v>
      </c>
      <c r="K305" s="2" t="s">
        <v>379</v>
      </c>
      <c r="L305" s="20" t="s">
        <v>32</v>
      </c>
      <c r="M305" s="20">
        <f t="shared" ref="M305:R305" si="53">SUMIF($V$3:$V$282,"="&amp;$J305&amp;$K305,M$3:M$282)</f>
        <v>0</v>
      </c>
      <c r="N305" s="20">
        <f t="shared" si="53"/>
        <v>0</v>
      </c>
      <c r="O305" s="20">
        <f t="shared" si="53"/>
        <v>0</v>
      </c>
      <c r="P305" s="20">
        <f t="shared" si="53"/>
        <v>0</v>
      </c>
      <c r="Q305" s="20">
        <f t="shared" si="53"/>
        <v>0</v>
      </c>
      <c r="R305" s="20">
        <f t="shared" si="53"/>
        <v>0</v>
      </c>
      <c r="T305" s="20" t="str">
        <f t="shared" ca="1" si="31"/>
        <v>Multi-Family Apartment</v>
      </c>
      <c r="U305" s="20" t="str">
        <f t="shared" ca="1" si="32"/>
        <v>OaklandMulti-Family Apartment</v>
      </c>
    </row>
    <row r="306" spans="10:21">
      <c r="J306" s="20" t="s">
        <v>395</v>
      </c>
      <c r="K306" s="2" t="s">
        <v>384</v>
      </c>
      <c r="L306" s="20" t="s">
        <v>32</v>
      </c>
      <c r="M306" s="20">
        <f t="shared" ref="M306:R306" si="54">SUMIF($V$3:$V$282,"="&amp;$J306&amp;$K306,M$3:M$282)</f>
        <v>0</v>
      </c>
      <c r="N306" s="20">
        <f t="shared" si="54"/>
        <v>0</v>
      </c>
      <c r="O306" s="20">
        <f t="shared" si="54"/>
        <v>0</v>
      </c>
      <c r="P306" s="20">
        <f t="shared" si="54"/>
        <v>0</v>
      </c>
      <c r="Q306" s="20">
        <f t="shared" si="54"/>
        <v>0</v>
      </c>
      <c r="R306" s="20">
        <f t="shared" si="54"/>
        <v>0</v>
      </c>
      <c r="T306" s="20" t="str">
        <f t="shared" ca="1" si="31"/>
        <v>Multi-Family Apartment</v>
      </c>
      <c r="U306" s="20" t="str">
        <f t="shared" ca="1" si="32"/>
        <v>OaklandMulti-Family Apartment</v>
      </c>
    </row>
    <row r="307" spans="10:21">
      <c r="J307" s="20" t="s">
        <v>395</v>
      </c>
      <c r="K307" s="2" t="s">
        <v>385</v>
      </c>
      <c r="L307" s="20" t="s">
        <v>32</v>
      </c>
      <c r="M307" s="20">
        <f t="shared" ref="M307:R307" si="55">SUMIF($V$3:$V$282,"="&amp;$J307&amp;$K307,M$3:M$282)</f>
        <v>0</v>
      </c>
      <c r="N307" s="20">
        <f t="shared" si="55"/>
        <v>0</v>
      </c>
      <c r="O307" s="20">
        <f t="shared" si="55"/>
        <v>0</v>
      </c>
      <c r="P307" s="20">
        <f t="shared" si="55"/>
        <v>0</v>
      </c>
      <c r="Q307" s="20">
        <f t="shared" si="55"/>
        <v>0</v>
      </c>
      <c r="R307" s="20">
        <f t="shared" si="55"/>
        <v>0</v>
      </c>
      <c r="T307" s="20" t="str">
        <f t="shared" ca="1" si="31"/>
        <v>Attached Condo Building</v>
      </c>
      <c r="U307" s="20" t="str">
        <f t="shared" ca="1" si="32"/>
        <v>OaklandAttached Condo Building</v>
      </c>
    </row>
    <row r="308" spans="10:21">
      <c r="J308" s="20" t="s">
        <v>395</v>
      </c>
      <c r="K308" s="2" t="s">
        <v>386</v>
      </c>
      <c r="L308" s="20" t="s">
        <v>32</v>
      </c>
      <c r="M308" s="20">
        <f t="shared" ref="M308:R308" si="56">SUMIF($V$3:$V$282,"="&amp;$J308&amp;$K308,M$3:M$282)</f>
        <v>0</v>
      </c>
      <c r="N308" s="20">
        <f t="shared" si="56"/>
        <v>0</v>
      </c>
      <c r="O308" s="20">
        <f t="shared" si="56"/>
        <v>0</v>
      </c>
      <c r="P308" s="20">
        <f t="shared" si="56"/>
        <v>0</v>
      </c>
      <c r="Q308" s="20">
        <f t="shared" si="56"/>
        <v>0</v>
      </c>
      <c r="R308" s="20">
        <f t="shared" si="56"/>
        <v>0</v>
      </c>
      <c r="T308" s="20" t="str">
        <f t="shared" ca="1" si="31"/>
        <v>Single-Family Housing</v>
      </c>
      <c r="U308" s="20" t="str">
        <f t="shared" ca="1" si="32"/>
        <v>OaklandSingle-Family Housing</v>
      </c>
    </row>
    <row r="309" spans="10:21">
      <c r="J309" s="20" t="s">
        <v>396</v>
      </c>
      <c r="K309" s="2" t="s">
        <v>368</v>
      </c>
      <c r="L309" s="20" t="s">
        <v>32</v>
      </c>
      <c r="M309" s="20">
        <f t="shared" ref="M309:R309" si="57">SUMIF($V$3:$V$282,"="&amp;$J309&amp;$K309,M$3:M$282)</f>
        <v>0</v>
      </c>
      <c r="N309" s="20">
        <f t="shared" si="57"/>
        <v>0</v>
      </c>
      <c r="O309" s="20">
        <f t="shared" si="57"/>
        <v>0</v>
      </c>
      <c r="P309" s="20">
        <f t="shared" si="57"/>
        <v>0</v>
      </c>
      <c r="Q309" s="20">
        <f t="shared" si="57"/>
        <v>0</v>
      </c>
      <c r="R309" s="20">
        <f t="shared" si="57"/>
        <v>0</v>
      </c>
      <c r="T309" s="20" t="str">
        <f t="shared" ca="1" si="31"/>
        <v>Mobile Home</v>
      </c>
      <c r="U309" s="20" t="str">
        <f t="shared" ca="1" si="32"/>
        <v>St. ClairMobile Home</v>
      </c>
    </row>
    <row r="310" spans="10:21">
      <c r="J310" s="20" t="s">
        <v>396</v>
      </c>
      <c r="K310" s="2" t="s">
        <v>379</v>
      </c>
      <c r="L310" s="20" t="s">
        <v>32</v>
      </c>
      <c r="M310" s="20">
        <f t="shared" ref="M310:R310" si="58">SUMIF($V$3:$V$282,"="&amp;$J310&amp;$K310,M$3:M$282)</f>
        <v>0</v>
      </c>
      <c r="N310" s="20">
        <f t="shared" si="58"/>
        <v>0</v>
      </c>
      <c r="O310" s="20">
        <f t="shared" si="58"/>
        <v>0</v>
      </c>
      <c r="P310" s="20">
        <f t="shared" si="58"/>
        <v>0</v>
      </c>
      <c r="Q310" s="20">
        <f t="shared" si="58"/>
        <v>0</v>
      </c>
      <c r="R310" s="20">
        <f t="shared" si="58"/>
        <v>0</v>
      </c>
      <c r="T310" s="20" t="str">
        <f t="shared" ca="1" si="31"/>
        <v>Multi-Family Apartment</v>
      </c>
      <c r="U310" s="20" t="str">
        <f t="shared" ca="1" si="32"/>
        <v>St. ClairMulti-Family Apartment</v>
      </c>
    </row>
    <row r="311" spans="10:21">
      <c r="J311" s="20" t="s">
        <v>396</v>
      </c>
      <c r="K311" s="2" t="s">
        <v>384</v>
      </c>
      <c r="L311" s="20" t="s">
        <v>32</v>
      </c>
      <c r="M311" s="20">
        <f t="shared" ref="M311:R311" si="59">SUMIF($V$3:$V$282,"="&amp;$J311&amp;$K311,M$3:M$282)</f>
        <v>0</v>
      </c>
      <c r="N311" s="20">
        <f t="shared" si="59"/>
        <v>0</v>
      </c>
      <c r="O311" s="20">
        <f t="shared" si="59"/>
        <v>0</v>
      </c>
      <c r="P311" s="20">
        <f t="shared" si="59"/>
        <v>0</v>
      </c>
      <c r="Q311" s="20">
        <f t="shared" si="59"/>
        <v>0</v>
      </c>
      <c r="R311" s="20">
        <f t="shared" si="59"/>
        <v>0</v>
      </c>
      <c r="T311" s="20" t="str">
        <f t="shared" ca="1" si="31"/>
        <v>Multi-Family Apartment</v>
      </c>
      <c r="U311" s="20" t="str">
        <f t="shared" ca="1" si="32"/>
        <v>St. ClairMulti-Family Apartment</v>
      </c>
    </row>
    <row r="312" spans="10:21">
      <c r="J312" s="20" t="s">
        <v>396</v>
      </c>
      <c r="K312" s="2" t="s">
        <v>385</v>
      </c>
      <c r="L312" s="20" t="s">
        <v>32</v>
      </c>
      <c r="M312" s="20">
        <f t="shared" ref="M312:R312" si="60">SUMIF($V$3:$V$282,"="&amp;$J312&amp;$K312,M$3:M$282)</f>
        <v>0</v>
      </c>
      <c r="N312" s="20">
        <f t="shared" si="60"/>
        <v>0</v>
      </c>
      <c r="O312" s="20">
        <f t="shared" si="60"/>
        <v>0</v>
      </c>
      <c r="P312" s="20">
        <f t="shared" si="60"/>
        <v>0</v>
      </c>
      <c r="Q312" s="20">
        <f t="shared" si="60"/>
        <v>0</v>
      </c>
      <c r="R312" s="20">
        <f t="shared" si="60"/>
        <v>0</v>
      </c>
      <c r="T312" s="20" t="str">
        <f t="shared" ca="1" si="31"/>
        <v>Attached Condo Building</v>
      </c>
      <c r="U312" s="20" t="str">
        <f t="shared" ca="1" si="32"/>
        <v>St. ClairAttached Condo Building</v>
      </c>
    </row>
    <row r="313" spans="10:21">
      <c r="J313" s="20" t="s">
        <v>396</v>
      </c>
      <c r="K313" s="2" t="s">
        <v>386</v>
      </c>
      <c r="L313" s="20" t="s">
        <v>32</v>
      </c>
      <c r="M313" s="20">
        <f t="shared" ref="M313:R313" si="61">SUMIF($V$3:$V$282,"="&amp;$J313&amp;$K313,M$3:M$282)</f>
        <v>0</v>
      </c>
      <c r="N313" s="20">
        <f t="shared" si="61"/>
        <v>0</v>
      </c>
      <c r="O313" s="20">
        <f t="shared" si="61"/>
        <v>0</v>
      </c>
      <c r="P313" s="20">
        <f t="shared" si="61"/>
        <v>0</v>
      </c>
      <c r="Q313" s="20">
        <f t="shared" si="61"/>
        <v>0</v>
      </c>
      <c r="R313" s="20">
        <f t="shared" si="61"/>
        <v>0</v>
      </c>
      <c r="T313" s="20" t="str">
        <f t="shared" ca="1" si="31"/>
        <v>Single-Family Housing</v>
      </c>
      <c r="U313" s="20" t="str">
        <f t="shared" ca="1" si="32"/>
        <v>St. ClairSingle-Family Housing</v>
      </c>
    </row>
    <row r="314" spans="10:21">
      <c r="J314" s="20" t="s">
        <v>397</v>
      </c>
      <c r="K314" s="2" t="s">
        <v>368</v>
      </c>
      <c r="L314" s="20" t="s">
        <v>32</v>
      </c>
      <c r="M314" s="20">
        <f t="shared" ref="M314:R314" si="62">SUMIF($V$3:$V$282,"="&amp;$J314&amp;$K314,M$3:M$282)</f>
        <v>0</v>
      </c>
      <c r="N314" s="20">
        <f t="shared" si="62"/>
        <v>0</v>
      </c>
      <c r="O314" s="20">
        <f t="shared" si="62"/>
        <v>0</v>
      </c>
      <c r="P314" s="20">
        <f t="shared" si="62"/>
        <v>0</v>
      </c>
      <c r="Q314" s="20">
        <f t="shared" si="62"/>
        <v>0</v>
      </c>
      <c r="R314" s="20">
        <f t="shared" si="62"/>
        <v>0</v>
      </c>
      <c r="T314" s="20" t="str">
        <f t="shared" ca="1" si="31"/>
        <v>Mobile Home</v>
      </c>
      <c r="U314" s="20" t="str">
        <f t="shared" ca="1" si="32"/>
        <v>WashtenawMobile Home</v>
      </c>
    </row>
    <row r="315" spans="10:21">
      <c r="J315" s="20" t="s">
        <v>397</v>
      </c>
      <c r="K315" s="2" t="s">
        <v>379</v>
      </c>
      <c r="L315" s="20" t="s">
        <v>32</v>
      </c>
      <c r="M315" s="20">
        <f t="shared" ref="M315:R315" si="63">SUMIF($V$3:$V$282,"="&amp;$J315&amp;$K315,M$3:M$282)</f>
        <v>0</v>
      </c>
      <c r="N315" s="20">
        <f t="shared" si="63"/>
        <v>0</v>
      </c>
      <c r="O315" s="20">
        <f t="shared" si="63"/>
        <v>0</v>
      </c>
      <c r="P315" s="20">
        <f t="shared" si="63"/>
        <v>0</v>
      </c>
      <c r="Q315" s="20">
        <f t="shared" si="63"/>
        <v>0</v>
      </c>
      <c r="R315" s="20">
        <f t="shared" si="63"/>
        <v>0</v>
      </c>
      <c r="T315" s="20" t="str">
        <f t="shared" ca="1" si="31"/>
        <v>Multi-Family Apartment</v>
      </c>
      <c r="U315" s="20" t="str">
        <f t="shared" ca="1" si="32"/>
        <v>WashtenawMulti-Family Apartment</v>
      </c>
    </row>
    <row r="316" spans="10:21">
      <c r="J316" s="20" t="s">
        <v>397</v>
      </c>
      <c r="K316" s="2" t="s">
        <v>384</v>
      </c>
      <c r="L316" s="20" t="s">
        <v>32</v>
      </c>
      <c r="M316" s="20">
        <f t="shared" ref="M316:R316" si="64">SUMIF($V$3:$V$282,"="&amp;$J316&amp;$K316,M$3:M$282)</f>
        <v>0</v>
      </c>
      <c r="N316" s="20">
        <f t="shared" si="64"/>
        <v>0</v>
      </c>
      <c r="O316" s="20">
        <f t="shared" si="64"/>
        <v>0</v>
      </c>
      <c r="P316" s="20">
        <f t="shared" si="64"/>
        <v>0</v>
      </c>
      <c r="Q316" s="20">
        <f t="shared" si="64"/>
        <v>0</v>
      </c>
      <c r="R316" s="20">
        <f t="shared" si="64"/>
        <v>0</v>
      </c>
      <c r="T316" s="20" t="str">
        <f t="shared" ca="1" si="31"/>
        <v>Multi-Family Apartment</v>
      </c>
      <c r="U316" s="20" t="str">
        <f t="shared" ca="1" si="32"/>
        <v>WashtenawMulti-Family Apartment</v>
      </c>
    </row>
    <row r="317" spans="10:21">
      <c r="J317" s="20" t="s">
        <v>397</v>
      </c>
      <c r="K317" s="2" t="s">
        <v>385</v>
      </c>
      <c r="L317" s="20" t="s">
        <v>32</v>
      </c>
      <c r="M317" s="20">
        <f t="shared" ref="M317:R317" si="65">SUMIF($V$3:$V$282,"="&amp;$J317&amp;$K317,M$3:M$282)</f>
        <v>0</v>
      </c>
      <c r="N317" s="20">
        <f t="shared" si="65"/>
        <v>0</v>
      </c>
      <c r="O317" s="20">
        <f t="shared" si="65"/>
        <v>0</v>
      </c>
      <c r="P317" s="20">
        <f t="shared" si="65"/>
        <v>0</v>
      </c>
      <c r="Q317" s="20">
        <f t="shared" si="65"/>
        <v>0</v>
      </c>
      <c r="R317" s="20">
        <f t="shared" si="65"/>
        <v>0</v>
      </c>
      <c r="T317" s="20" t="str">
        <f t="shared" ca="1" si="31"/>
        <v>Attached Condo Building</v>
      </c>
      <c r="U317" s="20" t="str">
        <f t="shared" ca="1" si="32"/>
        <v>WashtenawAttached Condo Building</v>
      </c>
    </row>
    <row r="318" spans="10:21">
      <c r="J318" s="20" t="s">
        <v>397</v>
      </c>
      <c r="K318" s="2" t="s">
        <v>386</v>
      </c>
      <c r="L318" s="20" t="s">
        <v>32</v>
      </c>
      <c r="M318" s="20">
        <f t="shared" ref="M318:R318" si="66">SUMIF($V$3:$V$282,"="&amp;$J318&amp;$K318,M$3:M$282)</f>
        <v>0</v>
      </c>
      <c r="N318" s="20">
        <f t="shared" si="66"/>
        <v>0</v>
      </c>
      <c r="O318" s="20">
        <f t="shared" si="66"/>
        <v>0</v>
      </c>
      <c r="P318" s="20">
        <f t="shared" si="66"/>
        <v>0</v>
      </c>
      <c r="Q318" s="20">
        <f t="shared" si="66"/>
        <v>0</v>
      </c>
      <c r="R318" s="20">
        <f t="shared" si="66"/>
        <v>0</v>
      </c>
      <c r="T318" s="20" t="str">
        <f t="shared" ca="1" si="31"/>
        <v>Single-Family Housing</v>
      </c>
      <c r="U318" s="20" t="str">
        <f t="shared" ca="1" si="32"/>
        <v>WashtenawSingle-Family Housing</v>
      </c>
    </row>
    <row r="319" spans="10:21">
      <c r="J319" s="20" t="s">
        <v>398</v>
      </c>
      <c r="K319" s="2" t="s">
        <v>368</v>
      </c>
      <c r="L319" s="20" t="s">
        <v>32</v>
      </c>
      <c r="M319" s="20">
        <f t="shared" ref="M319:R319" si="67">SUMIF($V$3:$V$282,"="&amp;$J319&amp;$K319,M$3:M$282)</f>
        <v>0</v>
      </c>
      <c r="N319" s="20">
        <f t="shared" si="67"/>
        <v>0</v>
      </c>
      <c r="O319" s="20">
        <f t="shared" si="67"/>
        <v>0</v>
      </c>
      <c r="P319" s="20">
        <f t="shared" si="67"/>
        <v>0</v>
      </c>
      <c r="Q319" s="20">
        <f t="shared" si="67"/>
        <v>0</v>
      </c>
      <c r="R319" s="20">
        <f t="shared" si="67"/>
        <v>0</v>
      </c>
      <c r="T319" s="20" t="str">
        <f t="shared" ca="1" si="31"/>
        <v>Mobile Home</v>
      </c>
      <c r="U319" s="20" t="str">
        <f t="shared" ca="1" si="32"/>
        <v>WayneMobile Home</v>
      </c>
    </row>
    <row r="320" spans="10:21">
      <c r="J320" s="20" t="s">
        <v>398</v>
      </c>
      <c r="K320" s="2" t="s">
        <v>379</v>
      </c>
      <c r="L320" s="20" t="s">
        <v>32</v>
      </c>
      <c r="M320" s="20">
        <f t="shared" ref="M320:R320" si="68">SUMIF($V$3:$V$282,"="&amp;$J320&amp;$K320,M$3:M$282)</f>
        <v>0</v>
      </c>
      <c r="N320" s="20">
        <f t="shared" si="68"/>
        <v>0</v>
      </c>
      <c r="O320" s="20">
        <f t="shared" si="68"/>
        <v>0</v>
      </c>
      <c r="P320" s="20">
        <f t="shared" si="68"/>
        <v>0</v>
      </c>
      <c r="Q320" s="20">
        <f t="shared" si="68"/>
        <v>0</v>
      </c>
      <c r="R320" s="20">
        <f t="shared" si="68"/>
        <v>0</v>
      </c>
      <c r="T320" s="20" t="str">
        <f t="shared" ca="1" si="31"/>
        <v>Multi-Family Apartment</v>
      </c>
      <c r="U320" s="20" t="str">
        <f t="shared" ca="1" si="32"/>
        <v>WayneMulti-Family Apartment</v>
      </c>
    </row>
    <row r="321" spans="10:21">
      <c r="J321" s="20" t="s">
        <v>398</v>
      </c>
      <c r="K321" s="2" t="s">
        <v>384</v>
      </c>
      <c r="L321" s="20" t="s">
        <v>32</v>
      </c>
      <c r="M321" s="20">
        <f t="shared" ref="M321:R321" si="69">SUMIF($V$3:$V$282,"="&amp;$J321&amp;$K321,M$3:M$282)</f>
        <v>0</v>
      </c>
      <c r="N321" s="20">
        <f t="shared" si="69"/>
        <v>0</v>
      </c>
      <c r="O321" s="20">
        <f t="shared" si="69"/>
        <v>0</v>
      </c>
      <c r="P321" s="20">
        <f t="shared" si="69"/>
        <v>0</v>
      </c>
      <c r="Q321" s="20">
        <f t="shared" si="69"/>
        <v>0</v>
      </c>
      <c r="R321" s="20">
        <f t="shared" si="69"/>
        <v>0</v>
      </c>
      <c r="T321" s="20" t="str">
        <f t="shared" ca="1" si="31"/>
        <v>Multi-Family Apartment</v>
      </c>
      <c r="U321" s="20" t="str">
        <f t="shared" ca="1" si="32"/>
        <v>WayneMulti-Family Apartment</v>
      </c>
    </row>
    <row r="322" spans="10:21">
      <c r="J322" s="20" t="s">
        <v>398</v>
      </c>
      <c r="K322" s="2" t="s">
        <v>385</v>
      </c>
      <c r="L322" s="20" t="s">
        <v>32</v>
      </c>
      <c r="M322" s="20">
        <f t="shared" ref="M322:R322" si="70">SUMIF($V$3:$V$282,"="&amp;$J322&amp;$K322,M$3:M$282)</f>
        <v>0</v>
      </c>
      <c r="N322" s="20">
        <f t="shared" si="70"/>
        <v>0</v>
      </c>
      <c r="O322" s="20">
        <f t="shared" si="70"/>
        <v>0</v>
      </c>
      <c r="P322" s="20">
        <f t="shared" si="70"/>
        <v>0</v>
      </c>
      <c r="Q322" s="20">
        <f t="shared" si="70"/>
        <v>0</v>
      </c>
      <c r="R322" s="20">
        <f t="shared" si="70"/>
        <v>0</v>
      </c>
      <c r="T322" s="20" t="str">
        <f t="shared" ca="1" si="31"/>
        <v>Attached Condo Building</v>
      </c>
      <c r="U322" s="20" t="str">
        <f t="shared" ca="1" si="32"/>
        <v>WayneAttached Condo Building</v>
      </c>
    </row>
    <row r="323" spans="10:21">
      <c r="J323" s="20" t="s">
        <v>398</v>
      </c>
      <c r="K323" s="2" t="s">
        <v>386</v>
      </c>
      <c r="L323" s="20" t="s">
        <v>32</v>
      </c>
      <c r="M323" s="20">
        <f t="shared" ref="M323:R323" si="71">SUMIF($V$3:$V$282,"="&amp;$J323&amp;$K323,M$3:M$282)</f>
        <v>0</v>
      </c>
      <c r="N323" s="20">
        <f t="shared" si="71"/>
        <v>0</v>
      </c>
      <c r="O323" s="20">
        <f t="shared" si="71"/>
        <v>0</v>
      </c>
      <c r="P323" s="20">
        <f t="shared" si="71"/>
        <v>0</v>
      </c>
      <c r="Q323" s="20">
        <f t="shared" si="71"/>
        <v>0</v>
      </c>
      <c r="R323" s="20">
        <f t="shared" si="71"/>
        <v>0</v>
      </c>
      <c r="T323" s="20" t="str">
        <f t="shared" ca="1" si="31"/>
        <v>Single-Family Housing</v>
      </c>
      <c r="U323" s="20" t="str">
        <f t="shared" ca="1" si="32"/>
        <v>WayneSingle-Family Housing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-0.249977111117893"/>
    <outlinePr summaryBelow="0" summaryRight="0"/>
  </sheetPr>
  <dimension ref="A1:AC85"/>
  <sheetViews>
    <sheetView tabSelected="1" workbookViewId="0">
      <pane ySplit="4" topLeftCell="A59" activePane="bottomLeft" state="frozen"/>
      <selection pane="bottomLeft" activeCell="B61" sqref="B61"/>
    </sheetView>
  </sheetViews>
  <sheetFormatPr defaultColWidth="12.5546875" defaultRowHeight="15.75" customHeight="1"/>
  <cols>
    <col min="1" max="1" width="15.6640625" customWidth="1"/>
  </cols>
  <sheetData>
    <row r="1" spans="1:29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>
      <c r="A2" s="2"/>
      <c r="B2" s="2"/>
      <c r="C2" s="196" t="s">
        <v>730</v>
      </c>
      <c r="D2" s="196"/>
      <c r="E2" s="2"/>
      <c r="F2" s="27"/>
      <c r="G2" s="2"/>
      <c r="H2" s="27"/>
      <c r="I2" s="2"/>
      <c r="J2" s="23"/>
      <c r="K2" s="2"/>
      <c r="L2" s="2"/>
      <c r="M2" s="2"/>
      <c r="N2" s="23"/>
      <c r="O2" s="2"/>
      <c r="P2" s="23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>
      <c r="A3" s="2"/>
      <c r="B3" s="2" t="s">
        <v>2</v>
      </c>
      <c r="C3" s="175">
        <v>2050</v>
      </c>
      <c r="D3" s="2"/>
      <c r="E3" s="2"/>
      <c r="F3" s="24"/>
      <c r="G3" s="2"/>
      <c r="H3" s="23"/>
      <c r="I3" s="2"/>
      <c r="J3" s="2"/>
      <c r="K3" s="2"/>
      <c r="L3" s="2"/>
      <c r="M3" s="2"/>
      <c r="N3" s="23"/>
      <c r="O3" s="2"/>
      <c r="P3" s="23"/>
      <c r="Q3" s="2"/>
      <c r="R3" s="192"/>
      <c r="S3" s="19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197" t="s">
        <v>731</v>
      </c>
      <c r="R4" s="196"/>
      <c r="S4" s="196"/>
      <c r="T4" s="196"/>
      <c r="U4" s="2"/>
      <c r="V4" s="2"/>
      <c r="W4" s="2"/>
      <c r="X4" s="2"/>
      <c r="Y4" s="2"/>
      <c r="Z4" s="2"/>
      <c r="AA4" s="2"/>
      <c r="AB4" s="2"/>
      <c r="AC4" s="2"/>
    </row>
    <row r="5" spans="1:29">
      <c r="A5" s="2"/>
      <c r="B5" s="2"/>
      <c r="C5" s="132" t="s">
        <v>683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>
      <c r="A6" s="2"/>
      <c r="B6" s="2"/>
      <c r="C6" s="23" t="s">
        <v>675</v>
      </c>
      <c r="D6" s="23">
        <v>2024</v>
      </c>
      <c r="E6" s="23">
        <v>2025</v>
      </c>
      <c r="F6" s="23">
        <v>2030</v>
      </c>
      <c r="G6" s="23">
        <v>2050</v>
      </c>
      <c r="H6" s="23"/>
      <c r="I6" s="23"/>
      <c r="J6" s="23"/>
      <c r="K6" s="23"/>
      <c r="L6" s="2"/>
      <c r="M6" s="2"/>
      <c r="N6" s="284" t="s">
        <v>570</v>
      </c>
      <c r="O6" s="285"/>
      <c r="P6" s="2"/>
      <c r="Q6" s="2" t="s">
        <v>684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9">
      <c r="A7" s="2"/>
      <c r="C7" s="23" t="s">
        <v>685</v>
      </c>
      <c r="D7" s="24">
        <v>39.895592829337502</v>
      </c>
      <c r="E7" s="24">
        <v>55.139268717456893</v>
      </c>
      <c r="F7" s="24">
        <v>56.63458454185605</v>
      </c>
      <c r="G7" s="24">
        <v>60.280788108505007</v>
      </c>
      <c r="H7" s="142"/>
      <c r="I7" s="142"/>
      <c r="J7" s="142"/>
      <c r="K7" s="142"/>
      <c r="L7" s="2" t="s">
        <v>686</v>
      </c>
      <c r="M7" s="2" t="s">
        <v>571</v>
      </c>
      <c r="N7" s="178" t="s">
        <v>665</v>
      </c>
      <c r="O7" s="178" t="s">
        <v>666</v>
      </c>
      <c r="P7" s="2"/>
      <c r="Q7" s="24">
        <f ca="1">-'Project #1 - Clean Fleets'!R22</f>
        <v>60.280788113986105</v>
      </c>
      <c r="R7" s="2" t="str">
        <f>CONCATENATE("Sheet: Project #1 - Clean Fleets", ", Year: ", $C$3)</f>
        <v>Sheet: Project #1 - Clean Fleets, Year: 2050</v>
      </c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9">
      <c r="A8" s="23"/>
      <c r="C8" s="23" t="s">
        <v>687</v>
      </c>
      <c r="D8" s="24">
        <v>46.704000000000001</v>
      </c>
      <c r="E8" s="24">
        <v>64.695999999999998</v>
      </c>
      <c r="F8" s="24">
        <v>46.196000000000005</v>
      </c>
      <c r="G8" s="24">
        <v>46.196000000000005</v>
      </c>
      <c r="H8" s="24"/>
      <c r="I8" s="24"/>
      <c r="J8" s="24"/>
      <c r="K8" s="23" t="s">
        <v>685</v>
      </c>
      <c r="L8" s="9">
        <f>AVERAGE(E7+(F7-E7)/5,F7)</f>
        <v>56.036458212096392</v>
      </c>
      <c r="M8" s="24">
        <f>AVERAGE(F7+(G7-F7)/20,G7)</f>
        <v>58.548841414346754</v>
      </c>
      <c r="N8" s="21">
        <f>D7+E7+(L8*5)</f>
        <v>375.21715260727632</v>
      </c>
      <c r="O8" s="21">
        <f>N8+(M8*20)</f>
        <v>1546.1939808942113</v>
      </c>
      <c r="P8" s="2"/>
      <c r="Q8" s="24">
        <f ca="1">'Project #1 - Clean Fleets'!C55</f>
        <v>46.196000000000005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9">
      <c r="A9" s="2"/>
      <c r="B9" s="2"/>
      <c r="C9" s="23" t="s">
        <v>688</v>
      </c>
      <c r="D9" s="24">
        <v>753.79200000000003</v>
      </c>
      <c r="E9" s="24">
        <v>1046.7080000000001</v>
      </c>
      <c r="F9" s="24">
        <v>756.14400000000001</v>
      </c>
      <c r="G9" s="24">
        <v>756.14400000000001</v>
      </c>
      <c r="H9" s="179"/>
      <c r="I9" s="179"/>
      <c r="J9" s="179"/>
      <c r="K9" s="179"/>
      <c r="L9" s="2"/>
      <c r="M9" s="2"/>
      <c r="N9" s="2"/>
      <c r="O9" s="2"/>
      <c r="P9" s="2"/>
      <c r="Q9" s="24">
        <f ca="1">'Project #1 - Clean Fleets'!C56</f>
        <v>756.14400000000001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9">
      <c r="A10" s="23"/>
      <c r="B10" s="2"/>
      <c r="C10" s="23" t="s">
        <v>689</v>
      </c>
      <c r="D10" s="24">
        <v>37.368000000000002</v>
      </c>
      <c r="E10" s="24">
        <v>49.555999999999997</v>
      </c>
      <c r="F10" s="24">
        <v>22.312000000000001</v>
      </c>
      <c r="G10" s="24">
        <v>22.312000000000001</v>
      </c>
      <c r="H10" s="180"/>
      <c r="I10" s="180"/>
      <c r="J10" s="180"/>
      <c r="K10" s="180"/>
      <c r="L10" s="2"/>
      <c r="M10" s="2"/>
      <c r="N10" s="284" t="s">
        <v>690</v>
      </c>
      <c r="O10" s="285"/>
      <c r="P10" s="2"/>
      <c r="Q10" s="24">
        <f ca="1">'Project #1 - Clean Fleets'!C57</f>
        <v>22.312000000000001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9">
      <c r="A11" s="2"/>
      <c r="B11" s="2"/>
      <c r="C11" s="23" t="s">
        <v>691</v>
      </c>
      <c r="D11" s="24">
        <v>1.7599999999999998</v>
      </c>
      <c r="E11" s="24">
        <v>2.5920000000000005</v>
      </c>
      <c r="F11" s="24">
        <v>2.3680000000000003</v>
      </c>
      <c r="G11" s="24">
        <v>2.3680000000000003</v>
      </c>
      <c r="H11" s="180"/>
      <c r="I11" s="180"/>
      <c r="J11" s="180"/>
      <c r="K11" s="180"/>
      <c r="L11" s="2" t="s">
        <v>686</v>
      </c>
      <c r="M11" s="2" t="s">
        <v>571</v>
      </c>
      <c r="N11" s="178" t="s">
        <v>665</v>
      </c>
      <c r="O11" s="178" t="s">
        <v>666</v>
      </c>
      <c r="P11" s="2"/>
      <c r="Q11" s="24">
        <f ca="1">'Project #1 - Clean Fleets'!C58</f>
        <v>2.3680000000000003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9">
      <c r="A12" s="23"/>
      <c r="B12" s="2"/>
      <c r="C12" s="23"/>
      <c r="D12" s="180"/>
      <c r="E12" s="180"/>
      <c r="F12" s="180"/>
      <c r="G12" s="180"/>
      <c r="H12" s="180"/>
      <c r="I12" s="180"/>
      <c r="J12" s="180"/>
      <c r="K12" s="23" t="s">
        <v>687</v>
      </c>
      <c r="L12" s="9">
        <f>AVERAGE(E8+(F8-E8)/5,F8)</f>
        <v>53.596000000000004</v>
      </c>
      <c r="M12" s="24">
        <f t="shared" ref="M12:M15" si="0">AVERAGE(F8+(G8-F8)/20,G8)</f>
        <v>46.196000000000005</v>
      </c>
      <c r="N12" s="21">
        <f t="shared" ref="N12:N15" si="1">D8+E8+(L12*5)</f>
        <v>379.38</v>
      </c>
      <c r="O12" s="21">
        <f t="shared" ref="O12:O15" si="2">N12+(M12*20)</f>
        <v>1303.3000000000002</v>
      </c>
      <c r="P12" s="2"/>
      <c r="Q12" s="179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9">
      <c r="A13" s="2"/>
      <c r="B13" s="2"/>
      <c r="C13" s="23"/>
      <c r="D13" s="180"/>
      <c r="E13" s="180"/>
      <c r="F13" s="180"/>
      <c r="G13" s="180"/>
      <c r="H13" s="180"/>
      <c r="I13" s="180"/>
      <c r="J13" s="180"/>
      <c r="K13" s="23" t="s">
        <v>688</v>
      </c>
      <c r="L13" s="9">
        <f t="shared" ref="L13:L15" si="3">AVERAGE(E9+(F9-E9)/(F$6-E$6),F9)</f>
        <v>872.36959999999999</v>
      </c>
      <c r="M13" s="24">
        <f t="shared" si="0"/>
        <v>756.14400000000001</v>
      </c>
      <c r="N13" s="21">
        <f t="shared" si="1"/>
        <v>6162.348</v>
      </c>
      <c r="O13" s="21">
        <f t="shared" si="2"/>
        <v>21285.228000000003</v>
      </c>
      <c r="P13" s="2"/>
      <c r="Q13" s="2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9">
      <c r="A14" s="2"/>
      <c r="B14" s="2"/>
      <c r="C14" s="2"/>
      <c r="D14" s="2"/>
      <c r="E14" s="2"/>
      <c r="F14" s="2"/>
      <c r="G14" s="2"/>
      <c r="H14" s="180"/>
      <c r="I14" s="180"/>
      <c r="J14" s="180"/>
      <c r="K14" s="23" t="s">
        <v>689</v>
      </c>
      <c r="L14" s="9">
        <f t="shared" si="3"/>
        <v>33.209600000000002</v>
      </c>
      <c r="M14" s="24">
        <f t="shared" si="0"/>
        <v>22.312000000000001</v>
      </c>
      <c r="N14" s="21">
        <f t="shared" si="1"/>
        <v>252.97200000000001</v>
      </c>
      <c r="O14" s="21">
        <f t="shared" si="2"/>
        <v>699.21199999999999</v>
      </c>
      <c r="P14" s="2"/>
      <c r="Q14" s="180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9">
      <c r="A15" s="2"/>
      <c r="B15" s="2"/>
      <c r="H15" s="180"/>
      <c r="I15" s="180"/>
      <c r="J15" s="180"/>
      <c r="K15" s="23" t="s">
        <v>691</v>
      </c>
      <c r="L15" s="9">
        <f t="shared" si="3"/>
        <v>2.4576000000000002</v>
      </c>
      <c r="M15" s="24">
        <f t="shared" si="0"/>
        <v>2.3680000000000003</v>
      </c>
      <c r="N15" s="21">
        <f t="shared" si="1"/>
        <v>16.64</v>
      </c>
      <c r="O15" s="21">
        <f t="shared" si="2"/>
        <v>64</v>
      </c>
      <c r="P15" s="2"/>
      <c r="Q15" s="180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9">
      <c r="A16" s="2"/>
      <c r="H16" s="2"/>
      <c r="I16" s="2"/>
      <c r="J16" s="2"/>
      <c r="K16" s="2"/>
      <c r="L16" s="2"/>
      <c r="M16" s="180"/>
      <c r="N16" s="24"/>
      <c r="O16" s="24"/>
      <c r="P16" s="2"/>
      <c r="Q16" s="180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9">
      <c r="A17" s="2"/>
      <c r="B17" s="2"/>
      <c r="C17" s="132" t="s">
        <v>692</v>
      </c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>
      <c r="A18" s="2"/>
      <c r="B18" s="2"/>
      <c r="C18" s="23" t="s">
        <v>675</v>
      </c>
      <c r="D18" s="23">
        <v>2026</v>
      </c>
      <c r="E18" s="23">
        <v>2027</v>
      </c>
      <c r="F18" s="23">
        <v>2028</v>
      </c>
      <c r="G18" s="23">
        <v>2029</v>
      </c>
      <c r="H18" s="23">
        <v>2030</v>
      </c>
      <c r="I18" s="23">
        <v>2050</v>
      </c>
      <c r="J18" s="23"/>
      <c r="K18" s="23"/>
      <c r="L18" s="2"/>
      <c r="M18" s="2"/>
      <c r="N18" s="284" t="s">
        <v>570</v>
      </c>
      <c r="O18" s="285"/>
      <c r="P18" s="2"/>
      <c r="Q18" s="2" t="s">
        <v>684</v>
      </c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9">
      <c r="A19" s="2"/>
      <c r="C19" s="23" t="s">
        <v>685</v>
      </c>
      <c r="D19" s="24">
        <v>5448.9808507284943</v>
      </c>
      <c r="E19" s="24">
        <v>13146.626480646537</v>
      </c>
      <c r="F19" s="24">
        <v>25935.388540352607</v>
      </c>
      <c r="G19" s="24">
        <v>53045.777664785404</v>
      </c>
      <c r="H19" s="9">
        <v>68167.113265548905</v>
      </c>
      <c r="I19" s="9">
        <v>62896.963437377723</v>
      </c>
      <c r="J19" s="142"/>
      <c r="K19" s="142"/>
      <c r="L19" s="2"/>
      <c r="M19" s="2" t="s">
        <v>571</v>
      </c>
      <c r="N19" s="178" t="s">
        <v>572</v>
      </c>
      <c r="O19" s="178" t="s">
        <v>573</v>
      </c>
      <c r="P19" s="2"/>
      <c r="Q19" s="24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9">
      <c r="A20" s="23"/>
      <c r="C20" s="23"/>
      <c r="D20" s="24"/>
      <c r="E20" s="24"/>
      <c r="F20" s="24"/>
      <c r="G20" s="24"/>
      <c r="H20" s="24"/>
      <c r="I20" s="24"/>
      <c r="J20" s="24"/>
      <c r="K20" s="23"/>
      <c r="L20" s="23" t="s">
        <v>685</v>
      </c>
      <c r="M20" s="24">
        <f>AVERAGE(H19+(I19-H19)/20,I19)</f>
        <v>65400.284605759036</v>
      </c>
      <c r="N20" s="21">
        <f>SUM(D19:H19)</f>
        <v>165743.88680206193</v>
      </c>
      <c r="O20" s="21">
        <f>N20+(M20*20)</f>
        <v>1473749.5789172426</v>
      </c>
      <c r="P20" s="2"/>
      <c r="Q20" s="24">
        <f ca="1">'Project #2 - Virtual Power Plan'!I16</f>
        <v>62896.963437377723</v>
      </c>
      <c r="R20" s="2" t="str">
        <f>CONCATENATE("Sheet: Project #2 - VPP", ", Year: ", $C$3)</f>
        <v>Sheet: Project #2 - VPP, Year: 2050</v>
      </c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9">
      <c r="A21" s="2"/>
      <c r="B21" s="2"/>
      <c r="C21" s="23"/>
      <c r="D21" s="24"/>
      <c r="E21" s="24"/>
      <c r="F21" s="24"/>
      <c r="G21" s="24"/>
      <c r="H21" s="179"/>
      <c r="I21" s="179"/>
      <c r="J21" s="179"/>
      <c r="K21" s="179"/>
      <c r="L21" s="2"/>
      <c r="M21" s="2"/>
      <c r="N21" s="2"/>
      <c r="O21" s="2"/>
      <c r="P21" s="2"/>
      <c r="Q21" s="24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9">
      <c r="A22" s="2"/>
      <c r="B22" s="2"/>
      <c r="C22" s="132" t="s">
        <v>693</v>
      </c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9">
      <c r="A23" s="2" t="s">
        <v>694</v>
      </c>
      <c r="B23" s="2"/>
      <c r="C23" s="23" t="s">
        <v>675</v>
      </c>
      <c r="D23" s="23">
        <v>2026</v>
      </c>
      <c r="E23" s="23">
        <v>2027</v>
      </c>
      <c r="F23" s="23">
        <v>2028</v>
      </c>
      <c r="G23" s="23">
        <v>2029</v>
      </c>
      <c r="H23" s="23">
        <v>2030</v>
      </c>
      <c r="I23" s="23">
        <v>2050</v>
      </c>
      <c r="J23" s="23"/>
      <c r="K23" s="2"/>
      <c r="L23" s="2"/>
      <c r="M23" s="2"/>
      <c r="N23" s="284" t="s">
        <v>570</v>
      </c>
      <c r="O23" s="285"/>
      <c r="P23" s="2"/>
      <c r="Q23" s="2" t="s">
        <v>684</v>
      </c>
      <c r="R23" s="101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9">
      <c r="A24" s="2"/>
      <c r="B24" s="2"/>
      <c r="C24" s="23" t="s">
        <v>695</v>
      </c>
      <c r="D24" s="24">
        <v>-4.6566128730773926E-10</v>
      </c>
      <c r="E24" s="24">
        <v>211.18235191819258</v>
      </c>
      <c r="F24" s="24">
        <v>505.68371916073374</v>
      </c>
      <c r="G24" s="24">
        <v>1055.4296790328808</v>
      </c>
      <c r="H24" s="24">
        <v>2126.3497227437329</v>
      </c>
      <c r="I24" s="24">
        <v>2076.1965784409549</v>
      </c>
      <c r="J24" s="24"/>
      <c r="K24" s="2"/>
      <c r="L24" s="2"/>
      <c r="M24" s="2" t="s">
        <v>571</v>
      </c>
      <c r="N24" s="178" t="s">
        <v>655</v>
      </c>
      <c r="O24" s="178" t="s">
        <v>656</v>
      </c>
      <c r="P24" s="2"/>
      <c r="Q24" s="24">
        <f ca="1">'Project #3 - Res Building Retro'!K23+'Project #3 - Com Building Retro'!L19</f>
        <v>2076.1967111281119</v>
      </c>
      <c r="R24" s="2" t="str">
        <f>CONCATENATE("Sheet: Project #3 - Res Building Retrofits VPP+, Project #3 - Com Building Retrofits VPP+", ", Year: ", $C$3)</f>
        <v>Sheet: Project #3 - Res Building Retrofits VPP+, Project #3 - Com Building Retrofits VPP+, Year: 2050</v>
      </c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9">
      <c r="A25" s="2" t="s">
        <v>554</v>
      </c>
      <c r="B25" s="181">
        <v>0.5</v>
      </c>
      <c r="C25" s="23" t="s">
        <v>696</v>
      </c>
      <c r="D25" s="24">
        <v>5448.9808507284943</v>
      </c>
      <c r="E25" s="24">
        <v>13146.626480646537</v>
      </c>
      <c r="F25" s="24">
        <v>25935.388540352607</v>
      </c>
      <c r="G25" s="24">
        <v>53045.777664785404</v>
      </c>
      <c r="H25" s="24">
        <v>68167.113265548905</v>
      </c>
      <c r="I25" s="24">
        <v>62896.963437377723</v>
      </c>
      <c r="J25" s="24"/>
      <c r="K25" s="2"/>
      <c r="L25" s="23" t="s">
        <v>697</v>
      </c>
      <c r="M25" s="24">
        <f t="shared" ref="M25:M26" si="4">AVERAGE(H24+(I24-H24)/20,I24)</f>
        <v>2100.0193219847743</v>
      </c>
      <c r="N25" s="24">
        <f t="shared" ref="N25:N26" si="5">SUM(D24:H24)</f>
        <v>3898.6454728550743</v>
      </c>
      <c r="O25" s="24">
        <f t="shared" ref="O25:O26" si="6">N25+(M25*20)</f>
        <v>45899.031912550563</v>
      </c>
      <c r="P25" s="2"/>
      <c r="Q25" s="24">
        <f ca="1">'Project #2 - Virtual Power Plan'!I16</f>
        <v>62896.963437377723</v>
      </c>
      <c r="R25" s="2" t="str">
        <f>CONCATENATE("Sheet: Project #2 - VPP", ", Year: ", $C$3)</f>
        <v>Sheet: Project #2 - VPP, Year: 2050</v>
      </c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9">
      <c r="A26" s="2" t="s">
        <v>556</v>
      </c>
      <c r="B26" s="181">
        <v>0</v>
      </c>
      <c r="C26" s="23"/>
      <c r="D26" s="24"/>
      <c r="E26" s="24"/>
      <c r="F26" s="24"/>
      <c r="G26" s="24"/>
      <c r="H26" s="24"/>
      <c r="I26" s="24"/>
      <c r="J26" s="24"/>
      <c r="K26" s="2"/>
      <c r="L26" s="23" t="s">
        <v>698</v>
      </c>
      <c r="M26" s="24">
        <f t="shared" si="4"/>
        <v>65400.284605759036</v>
      </c>
      <c r="N26" s="24">
        <f t="shared" si="5"/>
        <v>165743.88680206193</v>
      </c>
      <c r="O26" s="24">
        <f t="shared" si="6"/>
        <v>1473749.5789172426</v>
      </c>
      <c r="P26" s="2"/>
      <c r="Q26" s="2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9">
      <c r="A27" s="2" t="s">
        <v>557</v>
      </c>
      <c r="B27" s="175" t="s">
        <v>415</v>
      </c>
      <c r="C27" s="23"/>
      <c r="D27" s="24"/>
      <c r="E27" s="24"/>
      <c r="F27" s="24"/>
      <c r="G27" s="24"/>
      <c r="H27" s="24"/>
      <c r="I27" s="24"/>
      <c r="J27" s="24"/>
      <c r="K27" s="2"/>
      <c r="M27" s="23"/>
      <c r="N27" s="179"/>
      <c r="O27" s="179"/>
      <c r="P27" s="2"/>
      <c r="Q27" s="2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9">
      <c r="A28" s="2" t="s">
        <v>558</v>
      </c>
      <c r="B28" s="175" t="s">
        <v>415</v>
      </c>
      <c r="C28" s="23"/>
      <c r="D28" s="24"/>
      <c r="E28" s="24"/>
      <c r="F28" s="24"/>
      <c r="G28" s="24"/>
      <c r="H28" s="24"/>
      <c r="I28" s="24"/>
      <c r="J28" s="24"/>
      <c r="K28" s="2"/>
      <c r="L28" s="2"/>
      <c r="M28" s="2"/>
      <c r="N28" s="2"/>
      <c r="O28" s="2"/>
      <c r="P28" s="2"/>
      <c r="Q28" s="2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9">
      <c r="A29" s="2" t="s">
        <v>555</v>
      </c>
      <c r="B29" s="175">
        <v>3</v>
      </c>
      <c r="C29" s="23"/>
      <c r="D29" s="24"/>
      <c r="E29" s="24"/>
      <c r="F29" s="24"/>
      <c r="G29" s="24"/>
      <c r="H29" s="24"/>
      <c r="I29" s="24"/>
      <c r="J29" s="24"/>
      <c r="K29" s="2"/>
      <c r="L29" s="2"/>
      <c r="M29" s="2"/>
      <c r="N29" s="2"/>
      <c r="O29" s="2"/>
      <c r="P29" s="2"/>
      <c r="Q29" s="2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9">
      <c r="A30" s="2"/>
      <c r="B30" s="24"/>
      <c r="C30" s="23"/>
      <c r="D30" s="24"/>
      <c r="E30" s="24"/>
      <c r="F30" s="24"/>
      <c r="G30" s="24"/>
      <c r="H30" s="24"/>
      <c r="I30" s="24"/>
      <c r="J30" s="24"/>
      <c r="K30" s="2"/>
      <c r="L30" s="2"/>
      <c r="M30" s="2"/>
      <c r="N30" s="2"/>
      <c r="O30" s="2"/>
      <c r="P30" s="2"/>
      <c r="Q30" s="179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9">
      <c r="A31" s="2"/>
      <c r="B31" s="2"/>
      <c r="C31" s="132" t="s">
        <v>699</v>
      </c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9">
      <c r="A32" s="2" t="s">
        <v>694</v>
      </c>
      <c r="B32" s="2"/>
      <c r="C32" s="23" t="s">
        <v>675</v>
      </c>
      <c r="D32" s="23">
        <v>2026</v>
      </c>
      <c r="E32" s="23">
        <v>2027</v>
      </c>
      <c r="F32" s="23">
        <v>2028</v>
      </c>
      <c r="G32" s="23">
        <v>2029</v>
      </c>
      <c r="H32" s="23">
        <v>2030</v>
      </c>
      <c r="I32" s="23">
        <v>2050</v>
      </c>
      <c r="J32" s="23"/>
      <c r="K32" s="2"/>
      <c r="L32" s="2"/>
      <c r="M32" s="2"/>
      <c r="N32" s="284" t="s">
        <v>570</v>
      </c>
      <c r="O32" s="285"/>
      <c r="P32" s="2"/>
      <c r="Q32" s="2" t="s">
        <v>684</v>
      </c>
      <c r="R32" s="101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>
      <c r="A33" s="2"/>
      <c r="B33" s="2"/>
      <c r="C33" s="23" t="s">
        <v>700</v>
      </c>
      <c r="D33" s="24">
        <v>0</v>
      </c>
      <c r="E33" s="24">
        <v>16.415202951524407</v>
      </c>
      <c r="F33" s="24">
        <v>82.7406598306261</v>
      </c>
      <c r="G33" s="24">
        <v>163.29904530663043</v>
      </c>
      <c r="H33" s="24">
        <v>481.60683978768066</v>
      </c>
      <c r="I33" s="24">
        <v>505.09805427864194</v>
      </c>
      <c r="J33" s="24"/>
      <c r="K33" s="2"/>
      <c r="L33" s="2"/>
      <c r="M33" s="2" t="s">
        <v>571</v>
      </c>
      <c r="N33" s="178" t="s">
        <v>655</v>
      </c>
      <c r="O33" s="178" t="s">
        <v>656</v>
      </c>
      <c r="P33" s="2"/>
      <c r="Q33" s="24">
        <f ca="1">'Project #4 - Res Building Retro'!K24</f>
        <v>505.09807024849579</v>
      </c>
      <c r="R33" s="2" t="str">
        <f>CONCATENATE("Sheet: Project #4 - Res Building Retrofits Nbhd Retrofit", ", Year: ", $C$3)</f>
        <v>Sheet: Project #4 - Res Building Retrofits Nbhd Retrofit, Year: 2050</v>
      </c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>
      <c r="A34" s="2" t="s">
        <v>554</v>
      </c>
      <c r="B34" s="181">
        <v>0.5</v>
      </c>
      <c r="C34" s="23" t="s">
        <v>701</v>
      </c>
      <c r="D34" s="24">
        <v>0</v>
      </c>
      <c r="E34" s="24">
        <v>49.543227797112195</v>
      </c>
      <c r="F34" s="24">
        <v>246.12633850739803</v>
      </c>
      <c r="G34" s="24">
        <v>497.47257701330818</v>
      </c>
      <c r="H34" s="24">
        <v>1008.1651590181864</v>
      </c>
      <c r="I34" s="24">
        <v>970.70522178511601</v>
      </c>
      <c r="J34" s="24"/>
      <c r="L34" s="23" t="s">
        <v>700</v>
      </c>
      <c r="M34" s="24">
        <f t="shared" ref="M34:M36" si="7">AVERAGE(H33+(I33-H33)/20,I33)</f>
        <v>493.93972739543534</v>
      </c>
      <c r="N34" s="24">
        <f t="shared" ref="N34:N36" si="8">SUM(D33:H33)</f>
        <v>744.0617478764616</v>
      </c>
      <c r="O34" s="24">
        <f t="shared" ref="O34:O36" si="9">N34+(M34*20)</f>
        <v>10622.856295785168</v>
      </c>
      <c r="P34" s="2"/>
      <c r="Q34" s="24">
        <f ca="1">'Project #4 - Res Building New B'!K24</f>
        <v>970.70523649663664</v>
      </c>
      <c r="R34" s="2" t="str">
        <f>CONCATENATE("Sheet: Project #4 - Res Building New Builds Nbhd Retrofit", ", Year: ", $C$3)</f>
        <v>Sheet: Project #4 - Res Building New Builds Nbhd Retrofit, Year: 2050</v>
      </c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>
      <c r="A35" s="2" t="s">
        <v>556</v>
      </c>
      <c r="B35" s="181">
        <v>0</v>
      </c>
      <c r="C35" s="23" t="s">
        <v>702</v>
      </c>
      <c r="D35" s="24">
        <f t="shared" ref="D35:I35" si="10">SUM(D33:D34)</f>
        <v>0</v>
      </c>
      <c r="E35" s="24">
        <f t="shared" si="10"/>
        <v>65.958430748636601</v>
      </c>
      <c r="F35" s="24">
        <f t="shared" si="10"/>
        <v>328.86699833802413</v>
      </c>
      <c r="G35" s="24">
        <f t="shared" si="10"/>
        <v>660.77162231993861</v>
      </c>
      <c r="H35" s="24">
        <f t="shared" si="10"/>
        <v>1489.771998805867</v>
      </c>
      <c r="I35" s="24">
        <f t="shared" si="10"/>
        <v>1475.8032760637579</v>
      </c>
      <c r="J35" s="24"/>
      <c r="L35" s="23" t="s">
        <v>701</v>
      </c>
      <c r="M35" s="24">
        <f t="shared" si="7"/>
        <v>988.49869197082444</v>
      </c>
      <c r="N35" s="24">
        <f t="shared" si="8"/>
        <v>1801.3073023360048</v>
      </c>
      <c r="O35" s="24">
        <f t="shared" si="9"/>
        <v>21571.281141752494</v>
      </c>
      <c r="P35" s="2"/>
      <c r="Q35" s="2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>
      <c r="A36" s="2" t="s">
        <v>557</v>
      </c>
      <c r="B36" s="175" t="s">
        <v>682</v>
      </c>
      <c r="C36" s="23"/>
      <c r="D36" s="24"/>
      <c r="E36" s="24"/>
      <c r="F36" s="24"/>
      <c r="G36" s="24"/>
      <c r="H36" s="24"/>
      <c r="I36" s="24"/>
      <c r="J36" s="24"/>
      <c r="K36" s="2"/>
      <c r="L36" s="23" t="s">
        <v>702</v>
      </c>
      <c r="M36" s="24">
        <f t="shared" si="7"/>
        <v>1482.4384193662597</v>
      </c>
      <c r="N36" s="24">
        <f t="shared" si="8"/>
        <v>2545.3690502124664</v>
      </c>
      <c r="O36" s="24">
        <f t="shared" si="9"/>
        <v>32194.137437537662</v>
      </c>
      <c r="P36" s="2"/>
      <c r="Q36" s="2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>
      <c r="A37" s="2" t="s">
        <v>558</v>
      </c>
      <c r="B37" s="175" t="s">
        <v>682</v>
      </c>
      <c r="C37" s="23"/>
      <c r="D37" s="24"/>
      <c r="E37" s="24"/>
      <c r="F37" s="24"/>
      <c r="G37" s="24"/>
      <c r="H37" s="24"/>
      <c r="I37" s="24"/>
      <c r="J37" s="24"/>
      <c r="K37" s="2"/>
      <c r="L37" s="2"/>
      <c r="M37" s="2"/>
      <c r="N37" s="2"/>
      <c r="O37" s="2"/>
      <c r="P37" s="2"/>
      <c r="Q37" s="2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>
      <c r="A38" s="2" t="s">
        <v>555</v>
      </c>
      <c r="B38" s="175">
        <v>3</v>
      </c>
      <c r="C38" s="23"/>
      <c r="D38" s="24"/>
      <c r="E38" s="24"/>
      <c r="F38" s="24"/>
      <c r="G38" s="24"/>
      <c r="H38" s="24"/>
      <c r="I38" s="24"/>
      <c r="J38" s="24"/>
      <c r="K38" s="2"/>
      <c r="L38" s="2"/>
      <c r="M38" s="2"/>
      <c r="N38" s="2"/>
      <c r="O38" s="2"/>
      <c r="P38" s="2"/>
      <c r="Q38" s="24"/>
      <c r="R38" s="2"/>
    </row>
    <row r="39" spans="1:28">
      <c r="A39" s="20" t="s">
        <v>703</v>
      </c>
      <c r="B39" s="117" t="s">
        <v>411</v>
      </c>
    </row>
    <row r="41" spans="1:28">
      <c r="A41" s="2"/>
      <c r="B41" s="2"/>
      <c r="C41" s="132" t="s">
        <v>704</v>
      </c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>
      <c r="A42" s="2" t="s">
        <v>694</v>
      </c>
      <c r="B42" s="2"/>
      <c r="C42" s="23" t="s">
        <v>675</v>
      </c>
      <c r="D42" s="23">
        <v>2025</v>
      </c>
      <c r="E42" s="20">
        <v>2026</v>
      </c>
      <c r="F42" s="23">
        <v>2027</v>
      </c>
      <c r="G42" s="20">
        <v>2028</v>
      </c>
      <c r="H42" s="23">
        <v>2029</v>
      </c>
      <c r="I42" s="23">
        <v>2030</v>
      </c>
      <c r="J42" s="23">
        <v>2050</v>
      </c>
      <c r="K42" s="2"/>
      <c r="L42" s="2"/>
      <c r="M42" s="2"/>
      <c r="N42" s="284" t="s">
        <v>570</v>
      </c>
      <c r="O42" s="285"/>
      <c r="P42" s="2"/>
      <c r="Q42" s="2" t="s">
        <v>684</v>
      </c>
      <c r="R42" s="101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>
      <c r="A43" s="2"/>
      <c r="B43" s="2"/>
      <c r="C43" s="23" t="s">
        <v>685</v>
      </c>
      <c r="D43" s="24">
        <v>233.329480889921</v>
      </c>
      <c r="E43" s="21">
        <v>243.21895461889312</v>
      </c>
      <c r="F43" s="21">
        <v>253.83570081510703</v>
      </c>
      <c r="G43" s="24">
        <v>257.82808306722404</v>
      </c>
      <c r="H43" s="24">
        <v>251.27385302420828</v>
      </c>
      <c r="I43" s="24">
        <v>242.974177368695</v>
      </c>
      <c r="J43" s="24">
        <v>266.491969480796</v>
      </c>
      <c r="K43" s="2"/>
      <c r="L43" s="2"/>
      <c r="M43" s="2" t="s">
        <v>571</v>
      </c>
      <c r="N43" s="178" t="s">
        <v>655</v>
      </c>
      <c r="O43" s="178" t="s">
        <v>656</v>
      </c>
      <c r="P43" s="2"/>
      <c r="Q43" s="24">
        <f ca="1">-'Project #5 - Transit Transforma'!I16</f>
        <v>266.49196950005819</v>
      </c>
      <c r="R43" s="2" t="str">
        <f>CONCATENATE("Sheet: Project - Transit Transformation", ", Year: ", $C$3)</f>
        <v>Sheet: Project - Transit Transformation, Year: 2050</v>
      </c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>
      <c r="A44" s="2" t="s">
        <v>705</v>
      </c>
      <c r="B44" s="175">
        <v>3</v>
      </c>
      <c r="C44" s="23" t="s">
        <v>687</v>
      </c>
      <c r="D44" s="24">
        <v>269.23646141526791</v>
      </c>
      <c r="E44" s="21">
        <v>242.55856284588452</v>
      </c>
      <c r="F44" s="21">
        <v>231.39735861622043</v>
      </c>
      <c r="G44" s="24">
        <v>217.27418145253802</v>
      </c>
      <c r="H44" s="24">
        <v>206.06219146489261</v>
      </c>
      <c r="I44" s="24">
        <v>197.31648433786089</v>
      </c>
      <c r="J44" s="24">
        <v>197.31648433786089</v>
      </c>
      <c r="L44" s="23" t="s">
        <v>685</v>
      </c>
      <c r="M44" s="24">
        <f>AVERAGE(I43+(J43-I43)/20,J43)</f>
        <v>255.32101822754802</v>
      </c>
      <c r="N44" s="24">
        <f>SUM(D43:I43)</f>
        <v>1482.4602497840488</v>
      </c>
      <c r="O44" s="24">
        <f>N44+(M44*20)</f>
        <v>6588.8806143350093</v>
      </c>
      <c r="P44" s="2"/>
      <c r="Q44" s="24">
        <f ca="1">'Project #5 - Transit Transforma'!C49</f>
        <v>197.31648433800146</v>
      </c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>
      <c r="A45" s="2" t="s">
        <v>706</v>
      </c>
      <c r="B45" s="175">
        <v>3</v>
      </c>
      <c r="C45" s="23" t="s">
        <v>688</v>
      </c>
      <c r="D45" s="24">
        <v>4004.9441409677192</v>
      </c>
      <c r="E45" s="21">
        <v>3768.3651067174737</v>
      </c>
      <c r="F45" s="21">
        <v>3578.1463525632798</v>
      </c>
      <c r="G45" s="24">
        <v>3385.3500375783692</v>
      </c>
      <c r="H45" s="24">
        <v>3182.9667892312641</v>
      </c>
      <c r="I45" s="24">
        <v>3005.9488362503052</v>
      </c>
      <c r="J45" s="24">
        <v>3005.9488362503052</v>
      </c>
      <c r="L45" s="23"/>
      <c r="M45" s="24"/>
      <c r="N45" s="24"/>
      <c r="O45" s="24"/>
      <c r="P45" s="2"/>
      <c r="Q45" s="24">
        <f ca="1">'Project #5 - Transit Transforma'!C50</f>
        <v>3005.9488362536008</v>
      </c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>
      <c r="A46" s="2" t="s">
        <v>707</v>
      </c>
      <c r="B46" s="176">
        <v>121235</v>
      </c>
      <c r="C46" s="23" t="s">
        <v>689</v>
      </c>
      <c r="D46" s="24">
        <v>617.90284595090702</v>
      </c>
      <c r="E46" s="21">
        <v>573.19759623258369</v>
      </c>
      <c r="F46" s="21">
        <v>541.79277353113355</v>
      </c>
      <c r="G46" s="24">
        <v>509.11227789566522</v>
      </c>
      <c r="H46" s="24">
        <v>480.12124240700587</v>
      </c>
      <c r="I46" s="24">
        <v>455.75416674703496</v>
      </c>
      <c r="J46" s="24">
        <v>455.75416674703496</v>
      </c>
      <c r="K46" s="180"/>
      <c r="L46" s="2"/>
      <c r="M46" s="2"/>
      <c r="N46" s="284" t="s">
        <v>690</v>
      </c>
      <c r="O46" s="285"/>
      <c r="P46" s="24"/>
      <c r="Q46" s="24">
        <f ca="1">'Project #5 - Transit Transforma'!C51</f>
        <v>455.75416674734254</v>
      </c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>
      <c r="A47" s="2" t="s">
        <v>708</v>
      </c>
      <c r="B47" s="176">
        <v>56210</v>
      </c>
      <c r="C47" s="23" t="s">
        <v>691</v>
      </c>
      <c r="D47" s="24">
        <v>19.422128557338592</v>
      </c>
      <c r="E47" s="21">
        <v>18.41034855733859</v>
      </c>
      <c r="F47" s="21">
        <v>17.173079999896757</v>
      </c>
      <c r="G47" s="24">
        <v>16.329929999896756</v>
      </c>
      <c r="H47" s="24">
        <v>15.655409999896754</v>
      </c>
      <c r="I47" s="24">
        <v>15.149519999896757</v>
      </c>
      <c r="J47" s="24">
        <v>15.149519999896757</v>
      </c>
      <c r="K47" s="180"/>
      <c r="L47" s="2"/>
      <c r="M47" s="2" t="s">
        <v>571</v>
      </c>
      <c r="N47" s="178" t="s">
        <v>655</v>
      </c>
      <c r="O47" s="178" t="s">
        <v>656</v>
      </c>
      <c r="P47" s="24"/>
      <c r="Q47" s="24">
        <f ca="1">'Project #5 - Transit Transforma'!C52</f>
        <v>15.149519999905543</v>
      </c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>
      <c r="A48" s="20" t="s">
        <v>703</v>
      </c>
      <c r="B48" s="117" t="s">
        <v>411</v>
      </c>
      <c r="C48" s="23"/>
      <c r="D48" s="24"/>
      <c r="E48" s="24"/>
      <c r="F48" s="24"/>
      <c r="G48" s="24"/>
      <c r="H48" s="24"/>
      <c r="I48" s="24"/>
      <c r="J48" s="24"/>
      <c r="L48" s="23" t="s">
        <v>687</v>
      </c>
      <c r="M48" s="24">
        <f t="shared" ref="M48:M51" si="11">AVERAGE(I44+(J44-I44)/20,J44)</f>
        <v>197.31648433786089</v>
      </c>
      <c r="N48" s="21">
        <f t="shared" ref="N48:N51" si="12">SUM(D44:I44)</f>
        <v>1363.8452401326642</v>
      </c>
      <c r="O48" s="21">
        <f t="shared" ref="O48:O51" si="13">N48+(M48*20)</f>
        <v>5310.174926889882</v>
      </c>
      <c r="P48" s="24"/>
      <c r="Q48" s="24"/>
      <c r="R48" s="2"/>
    </row>
    <row r="49" spans="1:28">
      <c r="B49" s="20"/>
      <c r="L49" s="23" t="s">
        <v>688</v>
      </c>
      <c r="M49" s="24">
        <f t="shared" si="11"/>
        <v>3005.9488362503052</v>
      </c>
      <c r="N49" s="21">
        <f t="shared" si="12"/>
        <v>20925.721263308413</v>
      </c>
      <c r="O49" s="21">
        <f t="shared" si="13"/>
        <v>81044.697988314525</v>
      </c>
      <c r="P49" s="24"/>
    </row>
    <row r="50" spans="1:28">
      <c r="L50" s="23" t="s">
        <v>689</v>
      </c>
      <c r="M50" s="24">
        <f t="shared" si="11"/>
        <v>455.75416674703496</v>
      </c>
      <c r="N50" s="21">
        <f t="shared" si="12"/>
        <v>3177.8809027643301</v>
      </c>
      <c r="O50" s="21">
        <f t="shared" si="13"/>
        <v>12292.96423770503</v>
      </c>
      <c r="P50" s="24"/>
    </row>
    <row r="51" spans="1:28">
      <c r="L51" s="23" t="s">
        <v>691</v>
      </c>
      <c r="M51" s="24">
        <f t="shared" si="11"/>
        <v>15.149519999896757</v>
      </c>
      <c r="N51" s="21">
        <f t="shared" si="12"/>
        <v>102.1404171142642</v>
      </c>
      <c r="O51" s="21">
        <f t="shared" si="13"/>
        <v>405.13081711219934</v>
      </c>
      <c r="P51" s="24"/>
    </row>
    <row r="53" spans="1:28">
      <c r="A53" s="2"/>
      <c r="B53" s="2"/>
      <c r="C53" s="132" t="s">
        <v>709</v>
      </c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>
      <c r="A54" s="2"/>
      <c r="B54" s="2"/>
      <c r="C54" s="23" t="s">
        <v>675</v>
      </c>
      <c r="D54" s="23">
        <v>2028</v>
      </c>
      <c r="E54" s="23">
        <v>2029</v>
      </c>
      <c r="F54" s="23">
        <v>2030</v>
      </c>
      <c r="G54" s="23">
        <v>2031</v>
      </c>
      <c r="H54" s="23">
        <v>2032</v>
      </c>
      <c r="I54" s="23">
        <v>2033</v>
      </c>
      <c r="J54" s="23">
        <v>2050</v>
      </c>
      <c r="K54" s="2"/>
      <c r="L54" s="2"/>
      <c r="M54" s="2"/>
      <c r="N54" s="284" t="s">
        <v>570</v>
      </c>
      <c r="O54" s="285"/>
      <c r="P54" s="2"/>
      <c r="Q54" s="2" t="s">
        <v>684</v>
      </c>
      <c r="R54" s="101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>
      <c r="A55" s="2"/>
      <c r="B55" s="2"/>
      <c r="C55" s="23" t="s">
        <v>685</v>
      </c>
      <c r="D55" s="24">
        <v>0</v>
      </c>
      <c r="E55" s="24">
        <v>5.7236666666666673</v>
      </c>
      <c r="F55" s="24">
        <v>34.341999999999999</v>
      </c>
      <c r="G55" s="24">
        <v>91.578666666666678</v>
      </c>
      <c r="H55" s="24">
        <v>148.81533333333331</v>
      </c>
      <c r="I55" s="24">
        <v>206.05200000000002</v>
      </c>
      <c r="J55" s="24">
        <v>206.05200000000002</v>
      </c>
      <c r="K55" s="2"/>
      <c r="L55" s="2"/>
      <c r="M55" s="2" t="s">
        <v>710</v>
      </c>
      <c r="N55" s="178" t="s">
        <v>655</v>
      </c>
      <c r="O55" s="178" t="s">
        <v>656</v>
      </c>
      <c r="P55" s="2"/>
      <c r="Q55" s="24">
        <f>IFERROR(VLOOKUP(C3,'Project #6 - Carbon Sequestrati'!$A$4:$D$14,4),0)</f>
        <v>206.05200000000002</v>
      </c>
      <c r="R55" s="2" t="str">
        <f>CONCATENATE("Sheet: Project #6 - Carbon Sequestration", ", Year: ", $C$3)</f>
        <v>Sheet: Project #6 - Carbon Sequestration, Year: 2050</v>
      </c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>
      <c r="G56" s="24"/>
      <c r="H56" s="24"/>
      <c r="I56" s="24"/>
      <c r="J56" s="24"/>
      <c r="L56" s="23" t="s">
        <v>685</v>
      </c>
      <c r="M56" s="24">
        <f>AVERAGE(I55+(J55-I55)/17,J55)</f>
        <v>206.05200000000002</v>
      </c>
      <c r="N56" s="24">
        <f>SUM(D55:F55)</f>
        <v>40.065666666666665</v>
      </c>
      <c r="O56" s="24">
        <f>SUM(G55:I55)+(M56*17)</f>
        <v>3949.3300000000004</v>
      </c>
      <c r="P56" s="2"/>
      <c r="Q56" s="24">
        <f>'Project #5 - Transit Transforma'!C61</f>
        <v>0</v>
      </c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8" spans="1:28">
      <c r="A58" s="2"/>
      <c r="B58" s="2"/>
      <c r="C58" s="132" t="s">
        <v>711</v>
      </c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>
      <c r="A59" s="2" t="s">
        <v>694</v>
      </c>
      <c r="B59" s="2"/>
      <c r="C59" s="23" t="s">
        <v>675</v>
      </c>
      <c r="D59" s="23">
        <v>2025</v>
      </c>
      <c r="E59" s="20">
        <v>2026</v>
      </c>
      <c r="F59" s="23">
        <v>2027</v>
      </c>
      <c r="G59" s="20">
        <v>2028</v>
      </c>
      <c r="H59" s="23">
        <v>2029</v>
      </c>
      <c r="I59" s="23">
        <v>2030</v>
      </c>
      <c r="J59" s="23">
        <v>2050</v>
      </c>
      <c r="K59" s="2"/>
      <c r="L59" s="2"/>
      <c r="M59" s="2"/>
      <c r="N59" s="284" t="s">
        <v>570</v>
      </c>
      <c r="O59" s="285"/>
      <c r="P59" s="2"/>
      <c r="Q59" s="2" t="s">
        <v>684</v>
      </c>
      <c r="R59" s="101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>
      <c r="A60" s="2"/>
      <c r="B60" s="2"/>
      <c r="C60" s="23" t="s">
        <v>685</v>
      </c>
      <c r="D60" s="24">
        <v>0</v>
      </c>
      <c r="E60" s="21">
        <v>0</v>
      </c>
      <c r="F60" s="21">
        <v>517.85996941583596</v>
      </c>
      <c r="G60" s="24">
        <v>1828.4302000499781</v>
      </c>
      <c r="H60" s="24">
        <v>3089.6470057820002</v>
      </c>
      <c r="I60" s="24">
        <v>4296.6230110646084</v>
      </c>
      <c r="J60" s="24">
        <v>4524.3773990262252</v>
      </c>
      <c r="K60" s="2"/>
      <c r="L60" s="2"/>
      <c r="M60" s="2" t="s">
        <v>571</v>
      </c>
      <c r="N60" s="178" t="s">
        <v>655</v>
      </c>
      <c r="O60" s="178" t="s">
        <v>656</v>
      </c>
      <c r="P60" s="2"/>
      <c r="Q60" s="24">
        <f ca="1">-'Project #7 - Clean Cars'!R27</f>
        <v>4524.377399408675</v>
      </c>
      <c r="R60" s="2" t="str">
        <f>CONCATENATE("Sheet: Project #7 - Clean Cars", ", Year: ", $C$3)</f>
        <v>Sheet: Project #7 - Clean Cars, Year: 2050</v>
      </c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>
      <c r="A61" s="2" t="s">
        <v>712</v>
      </c>
      <c r="B61" s="176">
        <v>11000</v>
      </c>
      <c r="C61" s="23" t="s">
        <v>687</v>
      </c>
      <c r="D61" s="24">
        <v>0</v>
      </c>
      <c r="E61" s="21">
        <v>0</v>
      </c>
      <c r="F61" s="21">
        <v>433.4</v>
      </c>
      <c r="G61" s="24">
        <v>1424.5</v>
      </c>
      <c r="H61" s="24">
        <v>2310</v>
      </c>
      <c r="I61" s="24">
        <v>3122.9</v>
      </c>
      <c r="J61" s="24">
        <v>3122.9</v>
      </c>
      <c r="L61" s="23" t="s">
        <v>685</v>
      </c>
      <c r="M61" s="24">
        <f>AVERAGE(I60+(J60-I60)/20,J60)</f>
        <v>4416.1940647444571</v>
      </c>
      <c r="N61" s="24">
        <f>SUM(D60:I60)</f>
        <v>9732.560186312423</v>
      </c>
      <c r="O61" s="24">
        <f>N61+(M61*20)</f>
        <v>98056.44148120156</v>
      </c>
      <c r="P61" s="2"/>
      <c r="Q61" s="24">
        <f ca="1">'Project #7 - Clean Cars'!C47</f>
        <v>3122.9</v>
      </c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>
      <c r="A62" s="2" t="s">
        <v>713</v>
      </c>
      <c r="B62" s="176">
        <v>11000</v>
      </c>
      <c r="C62" s="23" t="s">
        <v>688</v>
      </c>
      <c r="D62" s="24">
        <v>0</v>
      </c>
      <c r="E62" s="21">
        <v>0</v>
      </c>
      <c r="F62" s="21">
        <v>7156.6</v>
      </c>
      <c r="G62" s="24">
        <v>23538.9</v>
      </c>
      <c r="H62" s="24">
        <v>37765.199999999997</v>
      </c>
      <c r="I62" s="24">
        <v>50405.85</v>
      </c>
      <c r="J62" s="24">
        <v>50405.85</v>
      </c>
      <c r="L62" s="23"/>
      <c r="M62" s="24"/>
      <c r="N62" s="24"/>
      <c r="O62" s="24"/>
      <c r="P62" s="2"/>
      <c r="Q62" s="24">
        <f ca="1">'Project #7 - Clean Cars'!C48</f>
        <v>50405.85</v>
      </c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>
      <c r="A63" s="20" t="s">
        <v>703</v>
      </c>
      <c r="B63" s="117" t="s">
        <v>411</v>
      </c>
      <c r="C63" s="23" t="s">
        <v>689</v>
      </c>
      <c r="D63" s="24">
        <v>0</v>
      </c>
      <c r="E63" s="21">
        <v>0</v>
      </c>
      <c r="F63" s="21">
        <v>248.6</v>
      </c>
      <c r="G63" s="24">
        <v>758.45</v>
      </c>
      <c r="H63" s="24">
        <v>1095.5999999999999</v>
      </c>
      <c r="I63" s="24">
        <v>1337.05</v>
      </c>
      <c r="J63" s="24">
        <v>1337.05</v>
      </c>
      <c r="K63" s="180"/>
      <c r="L63" s="2"/>
      <c r="M63" s="2"/>
      <c r="N63" s="284" t="s">
        <v>690</v>
      </c>
      <c r="O63" s="285"/>
      <c r="P63" s="24"/>
      <c r="Q63" s="24">
        <f ca="1">'Project #7 - Clean Cars'!C49</f>
        <v>1337.05</v>
      </c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>
      <c r="C64" s="23" t="s">
        <v>691</v>
      </c>
      <c r="D64" s="24">
        <v>0</v>
      </c>
      <c r="E64" s="21">
        <v>0</v>
      </c>
      <c r="F64" s="21">
        <v>18.700000000000003</v>
      </c>
      <c r="G64" s="24">
        <v>65.45</v>
      </c>
      <c r="H64" s="24">
        <v>112.2</v>
      </c>
      <c r="I64" s="24">
        <v>158.94999999999999</v>
      </c>
      <c r="J64" s="24">
        <v>158.94999999999999</v>
      </c>
      <c r="K64" s="180"/>
      <c r="L64" s="2"/>
      <c r="M64" s="2" t="s">
        <v>571</v>
      </c>
      <c r="N64" s="178" t="s">
        <v>655</v>
      </c>
      <c r="O64" s="178" t="s">
        <v>656</v>
      </c>
      <c r="P64" s="24"/>
      <c r="Q64" s="24">
        <f ca="1">'Project #7 - Clean Cars'!C50</f>
        <v>158.94999999999999</v>
      </c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>
      <c r="C65" s="23"/>
      <c r="D65" s="24"/>
      <c r="E65" s="24"/>
      <c r="F65" s="24"/>
      <c r="G65" s="24"/>
      <c r="H65" s="24"/>
      <c r="I65" s="24"/>
      <c r="J65" s="24"/>
      <c r="L65" s="23" t="s">
        <v>687</v>
      </c>
      <c r="M65" s="24">
        <f t="shared" ref="M65:M68" si="14">AVERAGE(I61+(J61-I61)/20,J61)</f>
        <v>3122.9</v>
      </c>
      <c r="N65" s="21">
        <f t="shared" ref="N65:N68" si="15">SUM(D61:I61)</f>
        <v>7290.7999999999993</v>
      </c>
      <c r="O65" s="21">
        <f t="shared" ref="O65:O68" si="16">N65+(M65*20)</f>
        <v>69748.800000000003</v>
      </c>
      <c r="P65" s="24"/>
      <c r="Q65" s="24"/>
      <c r="R65" s="2"/>
    </row>
    <row r="66" spans="1:28">
      <c r="L66" s="23" t="s">
        <v>688</v>
      </c>
      <c r="M66" s="24">
        <f t="shared" si="14"/>
        <v>50405.85</v>
      </c>
      <c r="N66" s="21">
        <f t="shared" si="15"/>
        <v>118866.54999999999</v>
      </c>
      <c r="O66" s="21">
        <f t="shared" si="16"/>
        <v>1126983.55</v>
      </c>
      <c r="P66" s="24"/>
    </row>
    <row r="67" spans="1:28">
      <c r="L67" s="23" t="s">
        <v>689</v>
      </c>
      <c r="M67" s="24">
        <f t="shared" si="14"/>
        <v>1337.05</v>
      </c>
      <c r="N67" s="21">
        <f t="shared" si="15"/>
        <v>3439.7</v>
      </c>
      <c r="O67" s="21">
        <f t="shared" si="16"/>
        <v>30180.7</v>
      </c>
      <c r="P67" s="24"/>
    </row>
    <row r="68" spans="1:28">
      <c r="L68" s="23" t="s">
        <v>691</v>
      </c>
      <c r="M68" s="24">
        <f t="shared" si="14"/>
        <v>158.94999999999999</v>
      </c>
      <c r="N68" s="21">
        <f t="shared" si="15"/>
        <v>355.3</v>
      </c>
      <c r="O68" s="21">
        <f t="shared" si="16"/>
        <v>3534.3</v>
      </c>
      <c r="P68" s="24"/>
    </row>
    <row r="70" spans="1:28">
      <c r="A70" s="2"/>
      <c r="B70" s="2"/>
      <c r="C70" s="132" t="s">
        <v>714</v>
      </c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>
      <c r="A71" s="2"/>
      <c r="B71" s="2"/>
      <c r="C71" s="23" t="s">
        <v>675</v>
      </c>
      <c r="D71" s="23">
        <v>2025</v>
      </c>
      <c r="E71" s="20">
        <v>2026</v>
      </c>
      <c r="F71" s="23">
        <v>2027</v>
      </c>
      <c r="G71" s="20">
        <v>2028</v>
      </c>
      <c r="H71" s="23">
        <v>2029</v>
      </c>
      <c r="I71" s="23">
        <v>2030</v>
      </c>
      <c r="J71" s="23">
        <v>2050</v>
      </c>
      <c r="K71" s="2"/>
      <c r="L71" s="2"/>
      <c r="M71" s="2"/>
      <c r="N71" s="284" t="s">
        <v>570</v>
      </c>
      <c r="O71" s="285"/>
      <c r="P71" s="2"/>
      <c r="Q71" s="2" t="s">
        <v>684</v>
      </c>
      <c r="R71" s="101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>
      <c r="A72" s="2"/>
      <c r="B72" s="2"/>
      <c r="C72" s="23" t="s">
        <v>685</v>
      </c>
      <c r="D72" s="24">
        <v>1397.6362570589552</v>
      </c>
      <c r="E72" s="21">
        <v>1397.6362570589552</v>
      </c>
      <c r="F72" s="21">
        <v>1397.6362570589552</v>
      </c>
      <c r="G72" s="24">
        <v>1397.6362570589552</v>
      </c>
      <c r="H72" s="24">
        <v>1397.6362570589552</v>
      </c>
      <c r="I72" s="24">
        <v>1397.6362570589552</v>
      </c>
      <c r="J72" s="24">
        <v>1397.6362570589552</v>
      </c>
      <c r="K72" s="2"/>
      <c r="L72" s="2"/>
      <c r="M72" s="2" t="s">
        <v>571</v>
      </c>
      <c r="N72" s="178" t="s">
        <v>655</v>
      </c>
      <c r="O72" s="178" t="s">
        <v>656</v>
      </c>
      <c r="P72" s="2"/>
      <c r="Q72" s="24">
        <f ca="1">'Project #8 - Active Transportat'!B65</f>
        <v>1397.6362570451477</v>
      </c>
      <c r="R72" s="2" t="str">
        <f>CONCATENATE("Sheet: Project #8 - Active Transportation", ", Year: ", $C$3)</f>
        <v>Sheet: Project #8 - Active Transportation, Year: 2050</v>
      </c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>
      <c r="A73" s="2"/>
      <c r="B73" s="2"/>
      <c r="C73" s="23" t="s">
        <v>687</v>
      </c>
      <c r="D73" s="24">
        <v>873.83230410544331</v>
      </c>
      <c r="E73" s="21">
        <v>788.97079366567084</v>
      </c>
      <c r="F73" s="21">
        <v>756.22606996970774</v>
      </c>
      <c r="G73" s="24">
        <v>711.98540481631312</v>
      </c>
      <c r="H73" s="24">
        <v>677.71484385393535</v>
      </c>
      <c r="I73" s="24">
        <v>650.52383478896854</v>
      </c>
      <c r="J73" s="24">
        <v>650.52383478896854</v>
      </c>
      <c r="L73" s="23" t="s">
        <v>685</v>
      </c>
      <c r="M73" s="24">
        <f>AVERAGE(I72+(J72-I72)/20,J72)</f>
        <v>1397.6362570589552</v>
      </c>
      <c r="N73" s="24">
        <f>SUM(D72:I72)</f>
        <v>8385.8175423537305</v>
      </c>
      <c r="O73" s="24">
        <f>N73+(M73*20)</f>
        <v>36338.542683532833</v>
      </c>
      <c r="P73" s="2"/>
      <c r="Q73" s="24">
        <f ca="1">'Project #8 - Active Transportat'!C98</f>
        <v>650.52383478896854</v>
      </c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>
      <c r="A74" s="2"/>
      <c r="B74" s="2"/>
      <c r="C74" s="23" t="s">
        <v>688</v>
      </c>
      <c r="D74" s="24">
        <v>12871.363552185414</v>
      </c>
      <c r="E74" s="21">
        <v>12097.190154669921</v>
      </c>
      <c r="F74" s="21">
        <v>11476.415673913405</v>
      </c>
      <c r="G74" s="24">
        <v>10845.461076188236</v>
      </c>
      <c r="H74" s="24">
        <v>10179.529024428464</v>
      </c>
      <c r="I74" s="24">
        <v>9595.0671382408509</v>
      </c>
      <c r="J74" s="24">
        <v>9595.0671382408509</v>
      </c>
      <c r="L74" s="23"/>
      <c r="M74" s="24"/>
      <c r="N74" s="24"/>
      <c r="O74" s="24"/>
      <c r="P74" s="2"/>
      <c r="Q74" s="24">
        <f ca="1">'Project #8 - Active Transportat'!C99</f>
        <v>9595.0671382408509</v>
      </c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>
      <c r="B75" s="2"/>
      <c r="C75" s="23" t="s">
        <v>689</v>
      </c>
      <c r="D75" s="24">
        <v>460.60597996659925</v>
      </c>
      <c r="E75" s="21">
        <v>390.17349155330288</v>
      </c>
      <c r="F75" s="21">
        <v>355.9479088499059</v>
      </c>
      <c r="G75" s="24">
        <v>311.21827118409936</v>
      </c>
      <c r="H75" s="24">
        <v>273.19987763509209</v>
      </c>
      <c r="I75" s="24">
        <v>237.14957341285918</v>
      </c>
      <c r="J75" s="24">
        <v>237.14957341285918</v>
      </c>
      <c r="K75" s="180"/>
      <c r="L75" s="2"/>
      <c r="M75" s="2"/>
      <c r="N75" s="284" t="s">
        <v>690</v>
      </c>
      <c r="O75" s="285"/>
      <c r="P75" s="24"/>
      <c r="Q75" s="24">
        <f ca="1">'Project #8 - Active Transportat'!C100</f>
        <v>237.14957341285918</v>
      </c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>
      <c r="B76" s="2"/>
      <c r="C76" s="23" t="s">
        <v>691</v>
      </c>
      <c r="D76" s="24">
        <v>30.827218422910519</v>
      </c>
      <c r="E76" s="21">
        <v>30.827218422910519</v>
      </c>
      <c r="F76" s="21">
        <v>30.068656253788479</v>
      </c>
      <c r="G76" s="24">
        <v>30.068656253788479</v>
      </c>
      <c r="H76" s="24">
        <v>30.068656253788479</v>
      </c>
      <c r="I76" s="24">
        <v>30.068656253788479</v>
      </c>
      <c r="J76" s="24">
        <v>30.068656253788479</v>
      </c>
      <c r="K76" s="180"/>
      <c r="L76" s="2"/>
      <c r="M76" s="2" t="s">
        <v>571</v>
      </c>
      <c r="N76" s="178" t="s">
        <v>655</v>
      </c>
      <c r="O76" s="178" t="s">
        <v>656</v>
      </c>
      <c r="P76" s="24"/>
      <c r="Q76" s="24">
        <f ca="1">'Project #8 - Active Transportat'!C101</f>
        <v>30.068656253788479</v>
      </c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>
      <c r="C77" s="23"/>
      <c r="D77" s="24"/>
      <c r="E77" s="24"/>
      <c r="F77" s="24"/>
      <c r="G77" s="24"/>
      <c r="H77" s="24"/>
      <c r="I77" s="24"/>
      <c r="J77" s="24"/>
      <c r="L77" s="23" t="s">
        <v>687</v>
      </c>
      <c r="M77" s="24">
        <f t="shared" ref="M77:M80" si="17">AVERAGE(I73+(J73-I73)/20,J73)</f>
        <v>650.52383478896854</v>
      </c>
      <c r="N77" s="21">
        <f t="shared" ref="N77:N80" si="18">SUM(D73:I73)</f>
        <v>4459.253251200038</v>
      </c>
      <c r="O77" s="21">
        <f t="shared" ref="O77:O80" si="19">N77+(M77*20)</f>
        <v>17469.729946979409</v>
      </c>
      <c r="P77" s="24"/>
      <c r="Q77" s="24"/>
      <c r="R77" s="2"/>
    </row>
    <row r="78" spans="1:28">
      <c r="L78" s="23" t="s">
        <v>688</v>
      </c>
      <c r="M78" s="24">
        <f t="shared" si="17"/>
        <v>9595.0671382408509</v>
      </c>
      <c r="N78" s="21">
        <f t="shared" si="18"/>
        <v>67065.026619626296</v>
      </c>
      <c r="O78" s="21">
        <f t="shared" si="19"/>
        <v>258966.3693844433</v>
      </c>
      <c r="P78" s="24"/>
    </row>
    <row r="79" spans="1:28">
      <c r="L79" s="23" t="s">
        <v>689</v>
      </c>
      <c r="M79" s="24">
        <f t="shared" si="17"/>
        <v>237.14957341285918</v>
      </c>
      <c r="N79" s="21">
        <f t="shared" si="18"/>
        <v>2028.2951026018588</v>
      </c>
      <c r="O79" s="21">
        <f t="shared" si="19"/>
        <v>6771.2865708590425</v>
      </c>
      <c r="P79" s="24"/>
    </row>
    <row r="80" spans="1:28">
      <c r="L80" s="23" t="s">
        <v>691</v>
      </c>
      <c r="M80" s="24">
        <f t="shared" si="17"/>
        <v>30.068656253788479</v>
      </c>
      <c r="N80" s="21">
        <f t="shared" si="18"/>
        <v>181.92906186097494</v>
      </c>
      <c r="O80" s="21">
        <f t="shared" si="19"/>
        <v>783.30218693674453</v>
      </c>
      <c r="P80" s="24"/>
    </row>
    <row r="82" spans="1:28">
      <c r="A82" s="2"/>
      <c r="B82" s="2"/>
      <c r="C82" s="132" t="s">
        <v>715</v>
      </c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>
      <c r="A83" s="2"/>
      <c r="B83" s="2"/>
      <c r="C83" s="23" t="s">
        <v>675</v>
      </c>
      <c r="D83" s="20">
        <v>2024</v>
      </c>
      <c r="E83" s="23">
        <v>2030</v>
      </c>
      <c r="F83" s="20">
        <v>2031</v>
      </c>
      <c r="G83" s="23">
        <v>2050</v>
      </c>
      <c r="I83" s="23"/>
      <c r="L83" s="2"/>
      <c r="M83" s="2"/>
      <c r="N83" s="284" t="s">
        <v>570</v>
      </c>
      <c r="O83" s="285"/>
      <c r="P83" s="2"/>
      <c r="Q83" s="2" t="s">
        <v>684</v>
      </c>
      <c r="R83" s="101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>
      <c r="A84" s="2"/>
      <c r="B84" s="2"/>
      <c r="C84" s="23" t="s">
        <v>685</v>
      </c>
      <c r="D84" s="21">
        <v>1259.136857142857</v>
      </c>
      <c r="E84" s="24">
        <v>1259.136857142857</v>
      </c>
      <c r="F84" s="21">
        <v>1412.3457000000001</v>
      </c>
      <c r="G84" s="24">
        <v>1412.3457000000001</v>
      </c>
      <c r="H84" s="24"/>
      <c r="I84" s="24"/>
      <c r="L84" s="2" t="s">
        <v>716</v>
      </c>
      <c r="M84" s="2" t="s">
        <v>571</v>
      </c>
      <c r="N84" s="178" t="s">
        <v>665</v>
      </c>
      <c r="O84" s="178" t="s">
        <v>656</v>
      </c>
      <c r="P84" s="2"/>
      <c r="Q84" s="24">
        <f ca="1">OFFSET('Project #9 - Organics Diversion'!$A$30,0,MATCH($C$3,'Project #9 - Organics Diversion'!$B$2:$AB$2))</f>
        <v>1412.3457000000001</v>
      </c>
      <c r="R84" s="2" t="str">
        <f>CONCATENATE("Project #9 - Organics Diversion", ", Year: ", $C$3)</f>
        <v>Project #9 - Organics Diversion, Year: 2050</v>
      </c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>
      <c r="A85" s="2"/>
      <c r="B85" s="2"/>
      <c r="C85" s="23"/>
      <c r="D85" s="24"/>
      <c r="E85" s="21"/>
      <c r="F85" s="21"/>
      <c r="G85" s="24"/>
      <c r="H85" s="24"/>
      <c r="I85" s="24"/>
      <c r="J85" s="24"/>
      <c r="K85" s="23" t="s">
        <v>685</v>
      </c>
      <c r="L85" s="21">
        <f>AVERAGE(D84:E84)</f>
        <v>1259.136857142857</v>
      </c>
      <c r="M85" s="24">
        <f>AVERAGE(F84:G84)</f>
        <v>1412.3457000000001</v>
      </c>
      <c r="N85" s="24">
        <f>L85*7</f>
        <v>8813.9579999999987</v>
      </c>
      <c r="O85" s="24">
        <f>N85+(M85*20)</f>
        <v>37060.872000000003</v>
      </c>
      <c r="P85" s="2"/>
      <c r="Q85" s="24">
        <f>'Project #8 - Active Transportat'!C110</f>
        <v>0</v>
      </c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</sheetData>
  <mergeCells count="13">
    <mergeCell ref="N83:O83"/>
    <mergeCell ref="N6:O6"/>
    <mergeCell ref="N10:O10"/>
    <mergeCell ref="N18:O18"/>
    <mergeCell ref="N23:O23"/>
    <mergeCell ref="N32:O32"/>
    <mergeCell ref="N42:O42"/>
    <mergeCell ref="N46:O46"/>
    <mergeCell ref="N54:O54"/>
    <mergeCell ref="N59:O59"/>
    <mergeCell ref="N63:O63"/>
    <mergeCell ref="N71:O71"/>
    <mergeCell ref="N75:O75"/>
  </mergeCells>
  <dataValidations count="3">
    <dataValidation type="list" allowBlank="1" showErrorMessage="1" sqref="B39 B48 B63" xr:uid="{00000000-0002-0000-1D00-000000000000}">
      <formula1>"Reference,VPP"</formula1>
    </dataValidation>
    <dataValidation type="list" allowBlank="1" showErrorMessage="1" sqref="R3" xr:uid="{00000000-0002-0000-1D00-000001000000}">
      <formula1>"Yes,No"</formula1>
    </dataValidation>
    <dataValidation type="list" allowBlank="1" showErrorMessage="1" sqref="S3" xr:uid="{00000000-0002-0000-1D00-000002000000}">
      <formula1>"Green,Blue"</formula1>
    </dataValidation>
  </dataValidations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0.59999389629810485"/>
    <outlinePr summaryBelow="0" summaryRight="0"/>
  </sheetPr>
  <dimension ref="B1:AA951"/>
  <sheetViews>
    <sheetView workbookViewId="0">
      <pane xSplit="4" ySplit="2" topLeftCell="E3" activePane="bottomRight" state="frozen"/>
      <selection pane="topRight"/>
      <selection pane="bottomLeft"/>
      <selection pane="bottomRight"/>
    </sheetView>
  </sheetViews>
  <sheetFormatPr defaultColWidth="12.5546875" defaultRowHeight="15.75" customHeight="1"/>
  <cols>
    <col min="1" max="1" width="6.109375" customWidth="1"/>
    <col min="3" max="3" width="19.44140625" customWidth="1"/>
    <col min="4" max="4" width="22" customWidth="1"/>
    <col min="10" max="10" width="7.44140625" customWidth="1"/>
    <col min="11" max="11" width="20.88671875" customWidth="1"/>
    <col min="15" max="15" width="16.33203125" customWidth="1"/>
    <col min="18" max="18" width="4.109375" customWidth="1"/>
  </cols>
  <sheetData>
    <row r="1" spans="2:27">
      <c r="E1" s="20" t="s">
        <v>399</v>
      </c>
      <c r="F1" s="20"/>
      <c r="H1" s="20" t="s">
        <v>400</v>
      </c>
      <c r="I1" s="20" t="s">
        <v>400</v>
      </c>
      <c r="R1" s="113"/>
      <c r="S1" s="113"/>
      <c r="T1" s="20" t="s">
        <v>400</v>
      </c>
      <c r="U1" s="20" t="s">
        <v>400</v>
      </c>
      <c r="V1" s="20"/>
      <c r="W1" s="20" t="s">
        <v>401</v>
      </c>
      <c r="Z1" s="20" t="s">
        <v>402</v>
      </c>
    </row>
    <row r="2" spans="2:27">
      <c r="B2" s="20" t="s">
        <v>27</v>
      </c>
      <c r="C2" s="20" t="s">
        <v>403</v>
      </c>
      <c r="D2" s="20" t="s">
        <v>404</v>
      </c>
      <c r="E2" s="20" t="s">
        <v>283</v>
      </c>
      <c r="F2" s="20" t="s">
        <v>363</v>
      </c>
      <c r="G2" s="20" t="s">
        <v>405</v>
      </c>
      <c r="H2" s="20" t="s">
        <v>0</v>
      </c>
      <c r="I2" s="20" t="s">
        <v>14</v>
      </c>
      <c r="L2" s="20" t="s">
        <v>0</v>
      </c>
      <c r="M2" s="20" t="s">
        <v>14</v>
      </c>
      <c r="N2" s="20" t="s">
        <v>32</v>
      </c>
      <c r="R2" s="114"/>
      <c r="S2" s="20" t="s">
        <v>406</v>
      </c>
      <c r="T2" s="20" t="s">
        <v>0</v>
      </c>
      <c r="U2" s="20" t="s">
        <v>14</v>
      </c>
      <c r="V2" s="20"/>
      <c r="W2" s="20" t="s">
        <v>283</v>
      </c>
      <c r="X2" s="20" t="s">
        <v>363</v>
      </c>
      <c r="Z2" s="20" t="s">
        <v>283</v>
      </c>
      <c r="AA2" s="20" t="s">
        <v>363</v>
      </c>
    </row>
    <row r="3" spans="2:27">
      <c r="B3" s="20" t="s">
        <v>5</v>
      </c>
      <c r="C3" s="20" t="s">
        <v>366</v>
      </c>
      <c r="D3" s="20" t="s">
        <v>369</v>
      </c>
      <c r="E3" s="75">
        <f t="shared" ref="E3:E86" ca="1" si="0">$H3*Z3/G3</f>
        <v>2.8675391078366421</v>
      </c>
      <c r="F3" s="75">
        <f t="shared" ref="F3:F86" ca="1" si="1">AA3*$I3/G3</f>
        <v>0</v>
      </c>
      <c r="G3" s="21">
        <f ca="1">VLOOKUP(B3&amp;C3,'res bld data'!$A$3:$H$37,7,FALSE)</f>
        <v>817</v>
      </c>
      <c r="H3" s="21">
        <f t="shared" ref="H3:I3" ca="1" si="2">$S3*T3</f>
        <v>32463.1559628383</v>
      </c>
      <c r="I3" s="21">
        <f t="shared" ca="1" si="2"/>
        <v>34719.858575755439</v>
      </c>
      <c r="J3" s="21"/>
      <c r="K3" s="20" t="s">
        <v>407</v>
      </c>
      <c r="L3" s="21">
        <f t="shared" ref="L3:M3" ca="1" si="3">H3+H10+H17+H24+H31+H38+H45+H52+H59+H66+H73+H80+H87+H94+H101</f>
        <v>13550438.80973856</v>
      </c>
      <c r="M3" s="21">
        <f t="shared" ca="1" si="3"/>
        <v>17526182.487</v>
      </c>
      <c r="N3" s="21">
        <f t="shared" ref="N3:N4" ca="1" si="4">L3+M3</f>
        <v>31076621.296738558</v>
      </c>
      <c r="P3" s="95">
        <f>'Emissions Factors'!F40*1000</f>
        <v>1.0369999999999999</v>
      </c>
      <c r="Q3" s="20" t="s">
        <v>408</v>
      </c>
      <c r="R3" s="115"/>
      <c r="S3" s="22">
        <f ca="1">G3/SUMIF('res bld data'!$B$3:$B$14,"="&amp;B3,'res bld data'!$G$3:$G$14)</f>
        <v>1.1509473832499824E-2</v>
      </c>
      <c r="T3" s="21">
        <f>SUMIFS('Projections by County'!$D$10:$D$36,'Projections by County'!$A$10:$A$36,B3,'Projections by County'!$C$10:$C$36,"Electricity (kWh)",'Projections by County'!$B$10:$B$36,"Residential")*BTU_per_kWh/1000000</f>
        <v>2820559.5177748799</v>
      </c>
      <c r="U3" s="21">
        <f>SUMIFS('Projections by County'!$D$10:$D$36,'Projections by County'!$A$10:$A$36,B3,'Projections by County'!$C$10:$C$36,"Natural Gas",'Projections by County'!$B$10:$B$36,"Residential")</f>
        <v>3016633</v>
      </c>
      <c r="V3" s="20"/>
      <c r="W3" s="116">
        <f ca="1">SUMIF('res bld data'!$U$3:$U$282,"="&amp;$B3&amp;$C3&amp;$D3,'res bld data'!M$3:M$282)/SUMIF('res bld data'!$U$3:$U$282,"="&amp;$B3&amp;$C3&amp;$D3,'res bld data'!$S$3:$S$282)</f>
        <v>1</v>
      </c>
      <c r="X3" s="116">
        <f ca="1">SUMIF('res bld data'!$U$3:$U$282,"="&amp;$B3&amp;$C3&amp;$D3,'res bld data'!O$3:O$282)/SUMIF('res bld data'!$U$3:$U$282,"="&amp;$B3&amp;$C3&amp;$D3,'res bld data'!$S$3:$S$282)</f>
        <v>0</v>
      </c>
      <c r="Z3" s="116">
        <f ca="1">IFERROR(SUMIF('res bld data'!$U$3:$U$107,"="&amp;$B3&amp;$C3&amp;$D3,'res bld data'!M$3:M$107)/SUMIF('res bld data'!$U$109:$U$123,"="&amp;$B3&amp;$C3,'res bld data'!M$109:M$123),0)</f>
        <v>7.2167334986912468E-2</v>
      </c>
      <c r="AA3" s="116">
        <f ca="1">IFERROR(SUMIF('res bld data'!$U$3:$U$107,"="&amp;$B3&amp;$C3&amp;$D3,'res bld data'!O$3:O$107)/SUMIF('res bld data'!$U$109:$U$123,"="&amp;$B3&amp;$C3,'res bld data'!O$109:O$123),0)</f>
        <v>0</v>
      </c>
    </row>
    <row r="4" spans="2:27">
      <c r="B4" s="20" t="s">
        <v>5</v>
      </c>
      <c r="C4" s="20" t="s">
        <v>366</v>
      </c>
      <c r="D4" s="20" t="s">
        <v>372</v>
      </c>
      <c r="E4" s="75">
        <f t="shared" ca="1" si="0"/>
        <v>7.2435165235256127</v>
      </c>
      <c r="F4" s="75">
        <f t="shared" ca="1" si="1"/>
        <v>0.77044639659470038</v>
      </c>
      <c r="G4" s="21">
        <f t="shared" ref="G4:G9" ca="1" si="5">G3</f>
        <v>817</v>
      </c>
      <c r="H4" s="21">
        <f t="shared" ref="H4:I4" ca="1" si="6">$S4*T4</f>
        <v>32463.1559628383</v>
      </c>
      <c r="I4" s="21">
        <f t="shared" ca="1" si="6"/>
        <v>34719.858575755439</v>
      </c>
      <c r="J4" s="21"/>
      <c r="K4" s="20" t="s">
        <v>409</v>
      </c>
      <c r="L4" s="21">
        <f ca="1">L3/P4/1000*P5/P6/1000</f>
        <v>1896188.9847082</v>
      </c>
      <c r="M4" s="21">
        <f ca="1">M3*'Emissions Factors'!E52</f>
        <v>930259.97189973202</v>
      </c>
      <c r="N4" s="21">
        <f t="shared" ca="1" si="4"/>
        <v>2826448.9566079322</v>
      </c>
      <c r="P4" s="20">
        <v>3.4120000000000001E-3</v>
      </c>
      <c r="Q4" s="20" t="s">
        <v>410</v>
      </c>
      <c r="R4" s="115"/>
      <c r="S4" s="22">
        <f ca="1">G4/SUMIF('res bld data'!$B$3:$B$14,"="&amp;B4,'res bld data'!$G$3:$G$14)</f>
        <v>1.1509473832499824E-2</v>
      </c>
      <c r="T4" s="21">
        <f>SUMIFS('Projections by County'!$D$10:$D$36,'Projections by County'!$A$10:$A$36,B4,'Projections by County'!$C$10:$C$36,"Electricity (kWh)",'Projections by County'!$B$10:$B$36,"Residential")*BTU_per_kWh/1000000</f>
        <v>2820559.5177748799</v>
      </c>
      <c r="U4" s="21">
        <f>SUMIFS('Projections by County'!$D$10:$D$36,'Projections by County'!$A$10:$A$36,B4,'Projections by County'!$C$10:$C$36,"Natural Gas",'Projections by County'!$B$10:$B$36,"Residential")</f>
        <v>3016633</v>
      </c>
      <c r="V4" s="116"/>
      <c r="W4" s="116">
        <f ca="1">SUMIF('res bld data'!$U$3:$U$282,"="&amp;$B4&amp;$C4&amp;$D4,'res bld data'!M$3:M$282)/SUMIF('res bld data'!$U$3:$U$282,"="&amp;$B4&amp;$C4&amp;$D4,'res bld data'!$S$3:$S$282)</f>
        <v>0.66069711851337964</v>
      </c>
      <c r="X4" s="116">
        <f ca="1">SUMIF('res bld data'!$U$3:$U$282,"="&amp;$B4&amp;$C4&amp;$D4,'res bld data'!O$3:O$282)/SUMIF('res bld data'!$U$3:$U$282,"="&amp;$B4&amp;$C4&amp;$D4,'res bld data'!$S$3:$S$282)</f>
        <v>0.33930288148662041</v>
      </c>
      <c r="Z4" s="116">
        <f ca="1">IFERROR(SUMIF('res bld data'!$U$3:$U$107,"="&amp;$B4&amp;$C4&amp;$D4,'res bld data'!M$3:M$107)/SUMIF('res bld data'!$U$109:$U$123,"="&amp;$B4&amp;$C4,'res bld data'!M$109:M$123),0)</f>
        <v>0.18229752543144331</v>
      </c>
      <c r="AA4" s="116">
        <f ca="1">IFERROR(SUMIF('res bld data'!$U$3:$U$107,"="&amp;$B4&amp;$C4&amp;$D4,'res bld data'!O$3:O$107)/SUMIF('res bld data'!$U$109:$U$123,"="&amp;$B4&amp;$C4,'res bld data'!O$109:O$123),0)</f>
        <v>1.8129529665118299E-2</v>
      </c>
    </row>
    <row r="5" spans="2:27">
      <c r="B5" s="20" t="s">
        <v>5</v>
      </c>
      <c r="C5" s="20" t="s">
        <v>366</v>
      </c>
      <c r="D5" s="20" t="s">
        <v>374</v>
      </c>
      <c r="E5" s="75">
        <f t="shared" ca="1" si="0"/>
        <v>9.7225055436893069</v>
      </c>
      <c r="F5" s="75">
        <f t="shared" ca="1" si="1"/>
        <v>0</v>
      </c>
      <c r="G5" s="21">
        <f t="shared" ca="1" si="5"/>
        <v>817</v>
      </c>
      <c r="H5" s="21">
        <f t="shared" ref="H5:I5" ca="1" si="7">$S5*T5</f>
        <v>32463.1559628383</v>
      </c>
      <c r="I5" s="21">
        <f t="shared" ca="1" si="7"/>
        <v>34719.858575755439</v>
      </c>
      <c r="J5" s="21"/>
      <c r="K5" s="20" t="s">
        <v>411</v>
      </c>
      <c r="P5" s="25">
        <f>'Emissions Factors'!F44</f>
        <v>1052.8</v>
      </c>
      <c r="Q5" s="20" t="s">
        <v>153</v>
      </c>
      <c r="R5" s="115"/>
      <c r="S5" s="22">
        <f ca="1">G5/SUMIF('res bld data'!$B$3:$B$14,"="&amp;B5,'res bld data'!$G$3:$G$14)</f>
        <v>1.1509473832499824E-2</v>
      </c>
      <c r="T5" s="21">
        <f>SUMIFS('Projections by County'!$D$10:$D$36,'Projections by County'!$A$10:$A$36,B5,'Projections by County'!$C$10:$C$36,"Electricity (kWh)",'Projections by County'!$B$10:$B$36,"Residential")*BTU_per_kWh/1000000</f>
        <v>2820559.5177748799</v>
      </c>
      <c r="U5" s="21">
        <f>SUMIFS('Projections by County'!$D$10:$D$36,'Projections by County'!$A$10:$A$36,B5,'Projections by County'!$C$10:$C$36,"Natural Gas",'Projections by County'!$B$10:$B$36,"Residential")</f>
        <v>3016633</v>
      </c>
      <c r="V5" s="116"/>
      <c r="W5" s="116">
        <f ca="1">SUMIF('res bld data'!$U$3:$U$282,"="&amp;$B5&amp;$C5&amp;$D5,'res bld data'!M$3:M$282)/SUMIF('res bld data'!$U$3:$U$282,"="&amp;$B5&amp;$C5&amp;$D5,'res bld data'!$S$3:$S$282)</f>
        <v>1</v>
      </c>
      <c r="X5" s="116">
        <f ca="1">SUMIF('res bld data'!$U$3:$U$282,"="&amp;$B5&amp;$C5&amp;$D5,'res bld data'!O$3:O$282)/SUMIF('res bld data'!$U$3:$U$282,"="&amp;$B5&amp;$C5&amp;$D5,'res bld data'!$S$3:$S$282)</f>
        <v>0</v>
      </c>
      <c r="Z5" s="116">
        <f ca="1">IFERROR(SUMIF('res bld data'!$U$3:$U$107,"="&amp;$B5&amp;$C5&amp;$D5,'res bld data'!M$3:M$107)/SUMIF('res bld data'!$U$109:$U$123,"="&amp;$B5&amp;$C5,'res bld data'!M$109:M$123),0)</f>
        <v>0.24468622330765127</v>
      </c>
      <c r="AA5" s="116">
        <f ca="1">IFERROR(SUMIF('res bld data'!$U$3:$U$107,"="&amp;$B5&amp;$C5&amp;$D5,'res bld data'!O$3:O$107)/SUMIF('res bld data'!$U$109:$U$123,"="&amp;$B5&amp;$C5,'res bld data'!O$109:O$123),0)</f>
        <v>0</v>
      </c>
    </row>
    <row r="6" spans="2:27">
      <c r="B6" s="20" t="s">
        <v>5</v>
      </c>
      <c r="C6" s="20" t="s">
        <v>366</v>
      </c>
      <c r="D6" s="20" t="s">
        <v>375</v>
      </c>
      <c r="E6" s="75">
        <f t="shared" ca="1" si="0"/>
        <v>7.3714731247348739</v>
      </c>
      <c r="F6" s="75">
        <f t="shared" ca="1" si="1"/>
        <v>0</v>
      </c>
      <c r="G6" s="21">
        <f t="shared" ca="1" si="5"/>
        <v>817</v>
      </c>
      <c r="H6" s="21">
        <f t="shared" ref="H6:I6" ca="1" si="8">$S6*T6</f>
        <v>32463.1559628383</v>
      </c>
      <c r="I6" s="21">
        <f t="shared" ca="1" si="8"/>
        <v>34719.858575755439</v>
      </c>
      <c r="J6" s="21"/>
      <c r="L6" s="20" t="str">
        <f t="shared" ref="L6:N6" si="9">L2</f>
        <v>Electricity</v>
      </c>
      <c r="M6" s="20" t="str">
        <f t="shared" si="9"/>
        <v>Natural Gas</v>
      </c>
      <c r="N6" s="20" t="str">
        <f t="shared" si="9"/>
        <v>Total</v>
      </c>
      <c r="P6" s="20">
        <v>2.2050000000000001</v>
      </c>
      <c r="Q6" s="20" t="s">
        <v>412</v>
      </c>
      <c r="R6" s="115"/>
      <c r="S6" s="22">
        <f ca="1">G6/SUMIF('res bld data'!$B$3:$B$14,"="&amp;B6,'res bld data'!$G$3:$G$14)</f>
        <v>1.1509473832499824E-2</v>
      </c>
      <c r="T6" s="21">
        <f>SUMIFS('Projections by County'!$D$10:$D$36,'Projections by County'!$A$10:$A$36,B6,'Projections by County'!$C$10:$C$36,"Electricity (kWh)",'Projections by County'!$B$10:$B$36,"Residential")*BTU_per_kWh/1000000</f>
        <v>2820559.5177748799</v>
      </c>
      <c r="U6" s="21">
        <f>SUMIFS('Projections by County'!$D$10:$D$36,'Projections by County'!$A$10:$A$36,B6,'Projections by County'!$C$10:$C$36,"Natural Gas",'Projections by County'!$B$10:$B$36,"Residential")</f>
        <v>3016633</v>
      </c>
      <c r="V6" s="116"/>
      <c r="W6" s="116">
        <f ca="1">SUMIF('res bld data'!$U$3:$U$282,"="&amp;$B6&amp;$C6&amp;$D6,'res bld data'!M$3:M$282)/SUMIF('res bld data'!$U$3:$U$282,"="&amp;$B6&amp;$C6&amp;$D6,'res bld data'!$S$3:$S$282)</f>
        <v>1</v>
      </c>
      <c r="X6" s="116">
        <f ca="1">SUMIF('res bld data'!$U$3:$U$282,"="&amp;$B6&amp;$C6&amp;$D6,'res bld data'!O$3:O$282)/SUMIF('res bld data'!$U$3:$U$282,"="&amp;$B6&amp;$C6&amp;$D6,'res bld data'!$S$3:$S$282)</f>
        <v>0</v>
      </c>
      <c r="Z6" s="116">
        <f ca="1">IFERROR(SUMIF('res bld data'!$U$3:$U$107,"="&amp;$B6&amp;$C6&amp;$D6,'res bld data'!M$3:M$107)/SUMIF('res bld data'!$U$109:$U$123,"="&amp;$B6&amp;$C6,'res bld data'!M$109:M$123),0)</f>
        <v>0.18551780824398431</v>
      </c>
      <c r="AA6" s="116">
        <f ca="1">IFERROR(SUMIF('res bld data'!$U$3:$U$107,"="&amp;$B6&amp;$C6&amp;$D6,'res bld data'!O$3:O$107)/SUMIF('res bld data'!$U$109:$U$123,"="&amp;$B6&amp;$C6,'res bld data'!O$109:O$123),0)</f>
        <v>0</v>
      </c>
    </row>
    <row r="7" spans="2:27">
      <c r="B7" s="20" t="s">
        <v>5</v>
      </c>
      <c r="C7" s="20" t="s">
        <v>366</v>
      </c>
      <c r="D7" s="20" t="s">
        <v>376</v>
      </c>
      <c r="E7" s="75">
        <f t="shared" ca="1" si="0"/>
        <v>11.67194231498674</v>
      </c>
      <c r="F7" s="75">
        <f t="shared" ca="1" si="1"/>
        <v>0</v>
      </c>
      <c r="G7" s="21">
        <f t="shared" ca="1" si="5"/>
        <v>817</v>
      </c>
      <c r="H7" s="21">
        <f t="shared" ref="H7:I7" ca="1" si="10">$S7*T7</f>
        <v>32463.1559628383</v>
      </c>
      <c r="I7" s="21">
        <f t="shared" ca="1" si="10"/>
        <v>34719.858575755439</v>
      </c>
      <c r="J7" s="21"/>
      <c r="K7" s="20" t="s">
        <v>407</v>
      </c>
      <c r="L7" s="21">
        <f t="shared" ref="L7:M7" si="11">T3+T38+T73</f>
        <v>13550438.80973856</v>
      </c>
      <c r="M7" s="21">
        <f t="shared" si="11"/>
        <v>17526182.487</v>
      </c>
      <c r="N7" s="21">
        <f t="shared" ref="N7:N8" si="12">L7+M7</f>
        <v>31076621.296738558</v>
      </c>
      <c r="R7" s="115"/>
      <c r="S7" s="22">
        <f ca="1">G7/SUMIF('res bld data'!$B$3:$B$14,"="&amp;B7,'res bld data'!$G$3:$G$14)</f>
        <v>1.1509473832499824E-2</v>
      </c>
      <c r="T7" s="21">
        <f>SUMIFS('Projections by County'!$D$10:$D$36,'Projections by County'!$A$10:$A$36,B7,'Projections by County'!$C$10:$C$36,"Electricity (kWh)",'Projections by County'!$B$10:$B$36,"Residential")*BTU_per_kWh/1000000</f>
        <v>2820559.5177748799</v>
      </c>
      <c r="U7" s="21">
        <f>SUMIFS('Projections by County'!$D$10:$D$36,'Projections by County'!$A$10:$A$36,B7,'Projections by County'!$C$10:$C$36,"Natural Gas",'Projections by County'!$B$10:$B$36,"Residential")</f>
        <v>3016633</v>
      </c>
      <c r="V7" s="116"/>
      <c r="W7" s="116">
        <f ca="1">SUMIF('res bld data'!$U$3:$U$282,"="&amp;$B7&amp;$C7&amp;$D7,'res bld data'!M$3:M$282)/SUMIF('res bld data'!$U$3:$U$282,"="&amp;$B7&amp;$C7&amp;$D7,'res bld data'!$S$3:$S$282)</f>
        <v>1</v>
      </c>
      <c r="X7" s="116">
        <f ca="1">SUMIF('res bld data'!$U$3:$U$282,"="&amp;$B7&amp;$C7&amp;$D7,'res bld data'!O$3:O$282)/SUMIF('res bld data'!$U$3:$U$282,"="&amp;$B7&amp;$C7&amp;$D7,'res bld data'!$S$3:$S$282)</f>
        <v>0</v>
      </c>
      <c r="Z7" s="116">
        <f ca="1">IFERROR(SUMIF('res bld data'!$U$3:$U$107,"="&amp;$B7&amp;$C7&amp;$D7,'res bld data'!M$3:M$107)/SUMIF('res bld data'!$U$109:$U$123,"="&amp;$B7&amp;$C7,'res bld data'!M$109:M$123),0)</f>
        <v>0.29374768375139898</v>
      </c>
      <c r="AA7" s="116">
        <f ca="1">IFERROR(SUMIF('res bld data'!$U$3:$U$107,"="&amp;$B7&amp;$C7&amp;$D7,'res bld data'!O$3:O$107)/SUMIF('res bld data'!$U$109:$U$123,"="&amp;$B7&amp;$C7,'res bld data'!O$109:O$123),0)</f>
        <v>0</v>
      </c>
    </row>
    <row r="8" spans="2:27">
      <c r="B8" s="20" t="s">
        <v>5</v>
      </c>
      <c r="C8" s="20" t="s">
        <v>366</v>
      </c>
      <c r="D8" s="20" t="s">
        <v>377</v>
      </c>
      <c r="E8" s="75">
        <f t="shared" ca="1" si="0"/>
        <v>0.85760840706072683</v>
      </c>
      <c r="F8" s="75">
        <f t="shared" ca="1" si="1"/>
        <v>36.64125862638523</v>
      </c>
      <c r="G8" s="21">
        <f t="shared" ca="1" si="5"/>
        <v>817</v>
      </c>
      <c r="H8" s="21">
        <f t="shared" ref="H8:I8" ca="1" si="13">$S8*T8</f>
        <v>32463.1559628383</v>
      </c>
      <c r="I8" s="21">
        <f t="shared" ca="1" si="13"/>
        <v>34719.858575755439</v>
      </c>
      <c r="J8" s="21"/>
      <c r="K8" s="20" t="s">
        <v>409</v>
      </c>
      <c r="L8" s="21">
        <f ca="1">IF(L10="Yes",L7*P10,L7*P9)</f>
        <v>1896188.9847082</v>
      </c>
      <c r="M8" s="21">
        <f ca="1">M7*P12</f>
        <v>930259.97189973202</v>
      </c>
      <c r="N8" s="21">
        <f t="shared" ca="1" si="12"/>
        <v>2826448.9566079322</v>
      </c>
      <c r="P8" s="20" t="s">
        <v>0</v>
      </c>
      <c r="R8" s="115"/>
      <c r="S8" s="22">
        <f ca="1">G8/SUMIF('res bld data'!$B$3:$B$14,"="&amp;B8,'res bld data'!$G$3:$G$14)</f>
        <v>1.1509473832499824E-2</v>
      </c>
      <c r="T8" s="21">
        <f>SUMIFS('Projections by County'!$D$10:$D$36,'Projections by County'!$A$10:$A$36,B8,'Projections by County'!$C$10:$C$36,"Electricity (kWh)",'Projections by County'!$B$10:$B$36,"Residential")*BTU_per_kWh/1000000</f>
        <v>2820559.5177748799</v>
      </c>
      <c r="U8" s="21">
        <f>SUMIFS('Projections by County'!$D$10:$D$36,'Projections by County'!$A$10:$A$36,B8,'Projections by County'!$C$10:$C$36,"Natural Gas",'Projections by County'!$B$10:$B$36,"Residential")</f>
        <v>3016633</v>
      </c>
      <c r="V8" s="116"/>
      <c r="W8" s="116">
        <f ca="1">SUMIF('res bld data'!$U$3:$U$282,"="&amp;$B8&amp;$C8&amp;$D8,'res bld data'!M$3:M$282)/SUMIF('res bld data'!$U$3:$U$282,"="&amp;$B8&amp;$C8&amp;$D8,'res bld data'!$S$3:$S$282)</f>
        <v>4.8242109081616932E-3</v>
      </c>
      <c r="X8" s="116">
        <f ca="1">SUMIF('res bld data'!$U$3:$U$282,"="&amp;$B8&amp;$C8&amp;$D8,'res bld data'!O$3:O$282)/SUMIF('res bld data'!$U$3:$U$282,"="&amp;$B8&amp;$C8&amp;$D8,'res bld data'!$S$3:$S$282)</f>
        <v>0.99517578909183835</v>
      </c>
      <c r="Z8" s="116">
        <f ca="1">IFERROR(SUMIF('res bld data'!$U$3:$U$107,"="&amp;$B8&amp;$C8&amp;$D8,'res bld data'!M$3:M$107)/SUMIF('res bld data'!$U$109:$U$123,"="&amp;$B8&amp;$C8,'res bld data'!M$109:M$123),0)</f>
        <v>2.1583424278609587E-2</v>
      </c>
      <c r="AA8" s="116">
        <f ca="1">IFERROR(SUMIF('res bld data'!$U$3:$U$107,"="&amp;$B8&amp;$C8&amp;$D8,'res bld data'!O$3:O$107)/SUMIF('res bld data'!$U$109:$U$123,"="&amp;$B8&amp;$C8,'res bld data'!O$109:O$123),0)</f>
        <v>0.86221285240662549</v>
      </c>
    </row>
    <row r="9" spans="2:27">
      <c r="B9" s="20" t="s">
        <v>5</v>
      </c>
      <c r="C9" s="20" t="s">
        <v>366</v>
      </c>
      <c r="D9" s="20" t="s">
        <v>378</v>
      </c>
      <c r="E9" s="75">
        <f t="shared" ca="1" si="0"/>
        <v>0</v>
      </c>
      <c r="F9" s="75">
        <f t="shared" ca="1" si="1"/>
        <v>5.0850618996093386</v>
      </c>
      <c r="G9" s="21">
        <f t="shared" ca="1" si="5"/>
        <v>817</v>
      </c>
      <c r="H9" s="21">
        <f t="shared" ref="H9:I9" ca="1" si="14">$S9*T9</f>
        <v>32463.1559628383</v>
      </c>
      <c r="I9" s="21">
        <f t="shared" ca="1" si="14"/>
        <v>34719.858575755439</v>
      </c>
      <c r="J9" s="21"/>
      <c r="P9" s="94">
        <f ca="1">L4/L3</f>
        <v>0.13993561473045646</v>
      </c>
      <c r="Q9" s="20" t="s">
        <v>413</v>
      </c>
      <c r="R9" s="115"/>
      <c r="S9" s="22">
        <f ca="1">G9/SUMIF('res bld data'!$B$3:$B$14,"="&amp;B9,'res bld data'!$G$3:$G$14)</f>
        <v>1.1509473832499824E-2</v>
      </c>
      <c r="T9" s="21">
        <f>SUMIFS('Projections by County'!$D$10:$D$36,'Projections by County'!$A$10:$A$36,B9,'Projections by County'!$C$10:$C$36,"Electricity (kWh)",'Projections by County'!$B$10:$B$36,"Residential")*BTU_per_kWh/1000000</f>
        <v>2820559.5177748799</v>
      </c>
      <c r="U9" s="21">
        <f>SUMIFS('Projections by County'!$D$10:$D$36,'Projections by County'!$A$10:$A$36,B9,'Projections by County'!$C$10:$C$36,"Natural Gas",'Projections by County'!$B$10:$B$36,"Residential")</f>
        <v>3016633</v>
      </c>
      <c r="V9" s="116"/>
      <c r="W9" s="116">
        <f ca="1">SUMIF('res bld data'!$U$3:$U$282,"="&amp;$B9&amp;$C9&amp;$D9,'res bld data'!M$3:M$282)/SUMIF('res bld data'!$U$3:$U$282,"="&amp;$B9&amp;$C9&amp;$D9,'res bld data'!$S$3:$S$282)</f>
        <v>0</v>
      </c>
      <c r="X9" s="116">
        <f ca="1">SUMIF('res bld data'!$U$3:$U$282,"="&amp;$B9&amp;$C9&amp;$D9,'res bld data'!O$3:O$282)/SUMIF('res bld data'!$U$3:$U$282,"="&amp;$B9&amp;$C9&amp;$D9,'res bld data'!$S$3:$S$282)</f>
        <v>1</v>
      </c>
      <c r="Z9" s="116">
        <f ca="1">IFERROR(SUMIF('res bld data'!$U$3:$U$107,"="&amp;$B9&amp;$C9&amp;$D9,'res bld data'!M$3:M$107)/SUMIF('res bld data'!$U$109:$U$123,"="&amp;$B9&amp;$C9,'res bld data'!M$109:M$123),0)</f>
        <v>0</v>
      </c>
      <c r="AA9" s="116">
        <f ca="1">IFERROR(SUMIF('res bld data'!$U$3:$U$107,"="&amp;$B9&amp;$C9&amp;$D9,'res bld data'!O$3:O$107)/SUMIF('res bld data'!$U$109:$U$123,"="&amp;$B9&amp;$C9,'res bld data'!O$109:O$123),0)</f>
        <v>0.11965761792825606</v>
      </c>
    </row>
    <row r="10" spans="2:27">
      <c r="B10" s="20" t="s">
        <v>5</v>
      </c>
      <c r="C10" s="20" t="s">
        <v>371</v>
      </c>
      <c r="D10" s="20" t="s">
        <v>369</v>
      </c>
      <c r="E10" s="75">
        <f t="shared" ca="1" si="0"/>
        <v>3.9206774734109961</v>
      </c>
      <c r="F10" s="75">
        <f t="shared" ca="1" si="1"/>
        <v>0</v>
      </c>
      <c r="G10" s="21">
        <f ca="1">VLOOKUP(B10&amp;C10,'res bld data'!$A$3:$H$37,7,FALSE)</f>
        <v>14755</v>
      </c>
      <c r="H10" s="21">
        <f t="shared" ref="H10:I10" ca="1" si="15">$S10*T10</f>
        <v>586283.80199715926</v>
      </c>
      <c r="I10" s="21">
        <f t="shared" ca="1" si="15"/>
        <v>627039.79594280478</v>
      </c>
      <c r="J10" s="21"/>
      <c r="K10" s="20" t="s">
        <v>414</v>
      </c>
      <c r="L10" s="117" t="s">
        <v>415</v>
      </c>
      <c r="O10" s="20" t="s">
        <v>416</v>
      </c>
      <c r="P10" s="94">
        <f>L17</f>
        <v>6.9967807369999996E-2</v>
      </c>
      <c r="Q10" s="20" t="s">
        <v>413</v>
      </c>
      <c r="R10" s="115"/>
      <c r="S10" s="22">
        <f ca="1">G10/SUMIF('res bld data'!$B$3:$B$14,"="&amp;B10,'res bld data'!$G$3:$G$14)</f>
        <v>0.20786081566528139</v>
      </c>
      <c r="T10" s="21">
        <f>SUMIFS('Projections by County'!$D$10:$D$36,'Projections by County'!$A$10:$A$36,B10,'Projections by County'!$C$10:$C$36,"Electricity (kWh)",'Projections by County'!$B$10:$B$36,"Residential")*BTU_per_kWh/1000000</f>
        <v>2820559.5177748799</v>
      </c>
      <c r="U10" s="21">
        <f>SUMIFS('Projections by County'!$D$10:$D$36,'Projections by County'!$A$10:$A$36,B10,'Projections by County'!$C$10:$C$36,"Natural Gas",'Projections by County'!$B$10:$B$36,"Residential")</f>
        <v>3016633</v>
      </c>
      <c r="V10" s="116"/>
      <c r="W10" s="116">
        <f ca="1">SUMIF('res bld data'!$U$3:$U$282,"="&amp;$B10&amp;$C10&amp;$D10,'res bld data'!M$3:M$282)/SUMIF('res bld data'!$U$3:$U$282,"="&amp;$B10&amp;$C10&amp;$D10,'res bld data'!$S$3:$S$282)</f>
        <v>1</v>
      </c>
      <c r="X10" s="116">
        <f ca="1">SUMIF('res bld data'!$U$3:$U$282,"="&amp;$B10&amp;$C10&amp;$D10,'res bld data'!O$3:O$282)/SUMIF('res bld data'!$U$3:$U$282,"="&amp;$B10&amp;$C10&amp;$D10,'res bld data'!$S$3:$S$282)</f>
        <v>0</v>
      </c>
      <c r="Z10" s="116">
        <f ca="1">IFERROR(SUMIF('res bld data'!$U$3:$U$107,"="&amp;$B10&amp;$C10&amp;$D10,'res bld data'!M$3:M$107)/SUMIF('res bld data'!$U$109:$U$123,"="&amp;$B10&amp;$C10,'res bld data'!M$109:M$123),0)</f>
        <v>9.8671660249040186E-2</v>
      </c>
      <c r="AA10" s="116">
        <f ca="1">IFERROR(SUMIF('res bld data'!$U$3:$U$107,"="&amp;$B10&amp;$C10&amp;$D10,'res bld data'!O$3:O$107)/SUMIF('res bld data'!$U$109:$U$123,"="&amp;$B10&amp;$C10,'res bld data'!O$109:O$123),0)</f>
        <v>0</v>
      </c>
    </row>
    <row r="11" spans="2:27">
      <c r="B11" s="20" t="s">
        <v>5</v>
      </c>
      <c r="C11" s="20" t="s">
        <v>371</v>
      </c>
      <c r="D11" s="20" t="s">
        <v>372</v>
      </c>
      <c r="E11" s="75">
        <f t="shared" ca="1" si="0"/>
        <v>4.8994658738373298</v>
      </c>
      <c r="F11" s="75">
        <f t="shared" ca="1" si="1"/>
        <v>0.95341831204924066</v>
      </c>
      <c r="G11" s="21">
        <f t="shared" ref="G11:G16" ca="1" si="16">G10</f>
        <v>14755</v>
      </c>
      <c r="H11" s="21">
        <f t="shared" ref="H11:I11" ca="1" si="17">$S11*T11</f>
        <v>586283.80199715926</v>
      </c>
      <c r="I11" s="21">
        <f t="shared" ca="1" si="17"/>
        <v>627039.79594280478</v>
      </c>
      <c r="J11" s="21"/>
      <c r="P11" s="20" t="s">
        <v>14</v>
      </c>
      <c r="R11" s="115"/>
      <c r="S11" s="22">
        <f ca="1">G11/SUMIF('res bld data'!$B$3:$B$14,"="&amp;B11,'res bld data'!$G$3:$G$14)</f>
        <v>0.20786081566528139</v>
      </c>
      <c r="T11" s="21">
        <f>SUMIFS('Projections by County'!$D$10:$D$36,'Projections by County'!$A$10:$A$36,B11,'Projections by County'!$C$10:$C$36,"Electricity (kWh)",'Projections by County'!$B$10:$B$36,"Residential")*BTU_per_kWh/1000000</f>
        <v>2820559.5177748799</v>
      </c>
      <c r="U11" s="21">
        <f>SUMIFS('Projections by County'!$D$10:$D$36,'Projections by County'!$A$10:$A$36,B11,'Projections by County'!$C$10:$C$36,"Natural Gas",'Projections by County'!$B$10:$B$36,"Residential")</f>
        <v>3016633</v>
      </c>
      <c r="V11" s="116"/>
      <c r="W11" s="116">
        <f ca="1">SUMIF('res bld data'!$U$3:$U$282,"="&amp;$B11&amp;$C11&amp;$D11,'res bld data'!M$3:M$282)/SUMIF('res bld data'!$U$3:$U$282,"="&amp;$B11&amp;$C11&amp;$D11,'res bld data'!$S$3:$S$282)</f>
        <v>0.88535511993000882</v>
      </c>
      <c r="X11" s="116">
        <f ca="1">SUMIF('res bld data'!$U$3:$U$282,"="&amp;$B11&amp;$C11&amp;$D11,'res bld data'!O$3:O$282)/SUMIF('res bld data'!$U$3:$U$282,"="&amp;$B11&amp;$C11&amp;$D11,'res bld data'!$S$3:$S$282)</f>
        <v>0.11464488006999109</v>
      </c>
      <c r="Z11" s="116">
        <f ca="1">IFERROR(SUMIF('res bld data'!$U$3:$U$107,"="&amp;$B11&amp;$C11&amp;$D11,'res bld data'!M$3:M$107)/SUMIF('res bld data'!$U$109:$U$123,"="&amp;$B11&amp;$C11,'res bld data'!M$109:M$123),0)</f>
        <v>0.12330482050196584</v>
      </c>
      <c r="AA11" s="116">
        <f ca="1">IFERROR(SUMIF('res bld data'!$U$3:$U$107,"="&amp;$B11&amp;$C11&amp;$D11,'res bld data'!O$3:O$107)/SUMIF('res bld data'!$U$109:$U$123,"="&amp;$B11&amp;$C11,'res bld data'!O$109:O$123),0)</f>
        <v>2.2435078738718084E-2</v>
      </c>
    </row>
    <row r="12" spans="2:27">
      <c r="B12" s="20" t="s">
        <v>5</v>
      </c>
      <c r="C12" s="20" t="s">
        <v>371</v>
      </c>
      <c r="D12" s="20" t="s">
        <v>374</v>
      </c>
      <c r="E12" s="75">
        <f t="shared" ca="1" si="0"/>
        <v>6.6316514176372108</v>
      </c>
      <c r="F12" s="75">
        <f t="shared" ca="1" si="1"/>
        <v>0</v>
      </c>
      <c r="G12" s="21">
        <f t="shared" ca="1" si="16"/>
        <v>14755</v>
      </c>
      <c r="H12" s="21">
        <f t="shared" ref="H12:I12" ca="1" si="18">$S12*T12</f>
        <v>586283.80199715926</v>
      </c>
      <c r="I12" s="21">
        <f t="shared" ca="1" si="18"/>
        <v>627039.79594280478</v>
      </c>
      <c r="J12" s="21"/>
      <c r="P12" s="20">
        <f ca="1">M4/M3</f>
        <v>5.3078299999999995E-2</v>
      </c>
      <c r="Q12" s="20" t="s">
        <v>413</v>
      </c>
      <c r="R12" s="115"/>
      <c r="S12" s="22">
        <f ca="1">G12/SUMIF('res bld data'!$B$3:$B$14,"="&amp;B12,'res bld data'!$G$3:$G$14)</f>
        <v>0.20786081566528139</v>
      </c>
      <c r="T12" s="21">
        <f>SUMIFS('Projections by County'!$D$10:$D$36,'Projections by County'!$A$10:$A$36,B12,'Projections by County'!$C$10:$C$36,"Electricity (kWh)",'Projections by County'!$B$10:$B$36,"Residential")*BTU_per_kWh/1000000</f>
        <v>2820559.5177748799</v>
      </c>
      <c r="U12" s="21">
        <f>SUMIFS('Projections by County'!$D$10:$D$36,'Projections by County'!$A$10:$A$36,B12,'Projections by County'!$C$10:$C$36,"Natural Gas",'Projections by County'!$B$10:$B$36,"Residential")</f>
        <v>3016633</v>
      </c>
      <c r="V12" s="116"/>
      <c r="W12" s="116">
        <f ca="1">SUMIF('res bld data'!$U$3:$U$282,"="&amp;$B12&amp;$C12&amp;$D12,'res bld data'!M$3:M$282)/SUMIF('res bld data'!$U$3:$U$282,"="&amp;$B12&amp;$C12&amp;$D12,'res bld data'!$S$3:$S$282)</f>
        <v>1</v>
      </c>
      <c r="X12" s="116">
        <f ca="1">SUMIF('res bld data'!$U$3:$U$282,"="&amp;$B12&amp;$C12&amp;$D12,'res bld data'!O$3:O$282)/SUMIF('res bld data'!$U$3:$U$282,"="&amp;$B12&amp;$C12&amp;$D12,'res bld data'!$S$3:$S$282)</f>
        <v>0</v>
      </c>
      <c r="Z12" s="116">
        <f ca="1">IFERROR(SUMIF('res bld data'!$U$3:$U$107,"="&amp;$B12&amp;$C12&amp;$D12,'res bld data'!M$3:M$107)/SUMIF('res bld data'!$U$109:$U$123,"="&amp;$B12&amp;$C12,'res bld data'!M$109:M$123),0)</f>
        <v>0.16689872095035496</v>
      </c>
      <c r="AA12" s="116">
        <f ca="1">IFERROR(SUMIF('res bld data'!$U$3:$U$107,"="&amp;$B12&amp;$C12&amp;$D12,'res bld data'!O$3:O$107)/SUMIF('res bld data'!$U$109:$U$123,"="&amp;$B12&amp;$C12,'res bld data'!O$109:O$123),0)</f>
        <v>0</v>
      </c>
    </row>
    <row r="13" spans="2:27">
      <c r="B13" s="20" t="s">
        <v>5</v>
      </c>
      <c r="C13" s="20" t="s">
        <v>371</v>
      </c>
      <c r="D13" s="20" t="s">
        <v>375</v>
      </c>
      <c r="E13" s="75">
        <f t="shared" ca="1" si="0"/>
        <v>1.9994101790913115</v>
      </c>
      <c r="F13" s="75">
        <f t="shared" ca="1" si="1"/>
        <v>0</v>
      </c>
      <c r="G13" s="21">
        <f t="shared" ca="1" si="16"/>
        <v>14755</v>
      </c>
      <c r="H13" s="21">
        <f t="shared" ref="H13:I13" ca="1" si="19">$S13*T13</f>
        <v>586283.80199715926</v>
      </c>
      <c r="I13" s="21">
        <f t="shared" ca="1" si="19"/>
        <v>627039.79594280478</v>
      </c>
      <c r="J13" s="21"/>
      <c r="R13" s="115"/>
      <c r="S13" s="22">
        <f ca="1">G13/SUMIF('res bld data'!$B$3:$B$14,"="&amp;B13,'res bld data'!$G$3:$G$14)</f>
        <v>0.20786081566528139</v>
      </c>
      <c r="T13" s="21">
        <f>SUMIFS('Projections by County'!$D$10:$D$36,'Projections by County'!$A$10:$A$36,B13,'Projections by County'!$C$10:$C$36,"Electricity (kWh)",'Projections by County'!$B$10:$B$36,"Residential")*BTU_per_kWh/1000000</f>
        <v>2820559.5177748799</v>
      </c>
      <c r="U13" s="21">
        <f>SUMIFS('Projections by County'!$D$10:$D$36,'Projections by County'!$A$10:$A$36,B13,'Projections by County'!$C$10:$C$36,"Natural Gas",'Projections by County'!$B$10:$B$36,"Residential")</f>
        <v>3016633</v>
      </c>
      <c r="V13" s="116"/>
      <c r="W13" s="116">
        <f ca="1">SUMIF('res bld data'!$U$3:$U$282,"="&amp;$B13&amp;$C13&amp;$D13,'res bld data'!M$3:M$282)/SUMIF('res bld data'!$U$3:$U$282,"="&amp;$B13&amp;$C13&amp;$D13,'res bld data'!$S$3:$S$282)</f>
        <v>1</v>
      </c>
      <c r="X13" s="116">
        <f ca="1">SUMIF('res bld data'!$U$3:$U$282,"="&amp;$B13&amp;$C13&amp;$D13,'res bld data'!O$3:O$282)/SUMIF('res bld data'!$U$3:$U$282,"="&amp;$B13&amp;$C13&amp;$D13,'res bld data'!$S$3:$S$282)</f>
        <v>0</v>
      </c>
      <c r="Z13" s="116">
        <f ca="1">IFERROR(SUMIF('res bld data'!$U$3:$U$107,"="&amp;$B13&amp;$C13&amp;$D13,'res bld data'!M$3:M$107)/SUMIF('res bld data'!$U$109:$U$123,"="&amp;$B13&amp;$C13,'res bld data'!M$109:M$123),0)</f>
        <v>5.0319140818826928E-2</v>
      </c>
      <c r="AA13" s="116">
        <f ca="1">IFERROR(SUMIF('res bld data'!$U$3:$U$107,"="&amp;$B13&amp;$C13&amp;$D13,'res bld data'!O$3:O$107)/SUMIF('res bld data'!$U$109:$U$123,"="&amp;$B13&amp;$C13,'res bld data'!O$109:O$123),0)</f>
        <v>0</v>
      </c>
    </row>
    <row r="14" spans="2:27">
      <c r="B14" s="20" t="s">
        <v>5</v>
      </c>
      <c r="C14" s="20" t="s">
        <v>371</v>
      </c>
      <c r="D14" s="20" t="s">
        <v>376</v>
      </c>
      <c r="E14" s="75">
        <f t="shared" ca="1" si="0"/>
        <v>3.4985708743875059</v>
      </c>
      <c r="F14" s="75">
        <f t="shared" ca="1" si="1"/>
        <v>0</v>
      </c>
      <c r="G14" s="21">
        <f t="shared" ca="1" si="16"/>
        <v>14755</v>
      </c>
      <c r="H14" s="21">
        <f t="shared" ref="H14:I14" ca="1" si="20">$S14*T14</f>
        <v>586283.80199715926</v>
      </c>
      <c r="I14" s="21">
        <f t="shared" ca="1" si="20"/>
        <v>627039.79594280478</v>
      </c>
      <c r="J14" s="21"/>
      <c r="R14" s="115"/>
      <c r="S14" s="22">
        <f ca="1">G14/SUMIF('res bld data'!$B$3:$B$14,"="&amp;B14,'res bld data'!$G$3:$G$14)</f>
        <v>0.20786081566528139</v>
      </c>
      <c r="T14" s="21">
        <f>SUMIFS('Projections by County'!$D$10:$D$36,'Projections by County'!$A$10:$A$36,B14,'Projections by County'!$C$10:$C$36,"Electricity (kWh)",'Projections by County'!$B$10:$B$36,"Residential")*BTU_per_kWh/1000000</f>
        <v>2820559.5177748799</v>
      </c>
      <c r="U14" s="21">
        <f>SUMIFS('Projections by County'!$D$10:$D$36,'Projections by County'!$A$10:$A$36,B14,'Projections by County'!$C$10:$C$36,"Natural Gas",'Projections by County'!$B$10:$B$36,"Residential")</f>
        <v>3016633</v>
      </c>
      <c r="V14" s="116"/>
      <c r="W14" s="116">
        <f ca="1">SUMIF('res bld data'!$U$3:$U$282,"="&amp;$B14&amp;$C14&amp;$D14,'res bld data'!M$3:M$282)/SUMIF('res bld data'!$U$3:$U$282,"="&amp;$B14&amp;$C14&amp;$D14,'res bld data'!$S$3:$S$282)</f>
        <v>1</v>
      </c>
      <c r="X14" s="116">
        <f ca="1">SUMIF('res bld data'!$U$3:$U$282,"="&amp;$B14&amp;$C14&amp;$D14,'res bld data'!O$3:O$282)/SUMIF('res bld data'!$U$3:$U$282,"="&amp;$B14&amp;$C14&amp;$D14,'res bld data'!$S$3:$S$282)</f>
        <v>0</v>
      </c>
      <c r="Z14" s="116">
        <f ca="1">IFERROR(SUMIF('res bld data'!$U$3:$U$107,"="&amp;$B14&amp;$C14&amp;$D14,'res bld data'!M$3:M$107)/SUMIF('res bld data'!$U$109:$U$123,"="&amp;$B14&amp;$C14,'res bld data'!M$109:M$123),0)</f>
        <v>8.8048506671582524E-2</v>
      </c>
      <c r="AA14" s="116">
        <f ca="1">IFERROR(SUMIF('res bld data'!$U$3:$U$107,"="&amp;$B14&amp;$C14&amp;$D14,'res bld data'!O$3:O$107)/SUMIF('res bld data'!$U$109:$U$123,"="&amp;$B14&amp;$C14,'res bld data'!O$109:O$123),0)</f>
        <v>0</v>
      </c>
    </row>
    <row r="15" spans="2:27">
      <c r="B15" s="20" t="s">
        <v>5</v>
      </c>
      <c r="C15" s="20" t="s">
        <v>371</v>
      </c>
      <c r="D15" s="20" t="s">
        <v>377</v>
      </c>
      <c r="E15" s="75">
        <f t="shared" ca="1" si="0"/>
        <v>14.571194585949526</v>
      </c>
      <c r="F15" s="75">
        <f t="shared" ca="1" si="1"/>
        <v>28.552259278105694</v>
      </c>
      <c r="G15" s="21">
        <f t="shared" ca="1" si="16"/>
        <v>14755</v>
      </c>
      <c r="H15" s="21">
        <f t="shared" ref="H15:I15" ca="1" si="21">$S15*T15</f>
        <v>586283.80199715926</v>
      </c>
      <c r="I15" s="21">
        <f t="shared" ca="1" si="21"/>
        <v>627039.79594280478</v>
      </c>
      <c r="J15" s="21"/>
      <c r="L15" s="116"/>
      <c r="R15" s="115"/>
      <c r="S15" s="22">
        <f ca="1">G15/SUMIF('res bld data'!$B$3:$B$14,"="&amp;B15,'res bld data'!$G$3:$G$14)</f>
        <v>0.20786081566528139</v>
      </c>
      <c r="T15" s="21">
        <f>SUMIFS('Projections by County'!$D$10:$D$36,'Projections by County'!$A$10:$A$36,B15,'Projections by County'!$C$10:$C$36,"Electricity (kWh)",'Projections by County'!$B$10:$B$36,"Residential")*BTU_per_kWh/1000000</f>
        <v>2820559.5177748799</v>
      </c>
      <c r="U15" s="21">
        <f>SUMIFS('Projections by County'!$D$10:$D$36,'Projections by County'!$A$10:$A$36,B15,'Projections by County'!$C$10:$C$36,"Natural Gas",'Projections by County'!$B$10:$B$36,"Residential")</f>
        <v>3016633</v>
      </c>
      <c r="V15" s="116"/>
      <c r="W15" s="116">
        <f ca="1">SUMIF('res bld data'!$U$3:$U$282,"="&amp;$B15&amp;$C15&amp;$D15,'res bld data'!M$3:M$282)/SUMIF('res bld data'!$U$3:$U$282,"="&amp;$B15&amp;$C15&amp;$D15,'res bld data'!$S$3:$S$282)</f>
        <v>0.43404466817207576</v>
      </c>
      <c r="X15" s="116">
        <f ca="1">SUMIF('res bld data'!$U$3:$U$282,"="&amp;$B15&amp;$C15&amp;$D15,'res bld data'!O$3:O$282)/SUMIF('res bld data'!$U$3:$U$282,"="&amp;$B15&amp;$C15&amp;$D15,'res bld data'!$S$3:$S$282)</f>
        <v>0.56595533182792424</v>
      </c>
      <c r="Z15" s="116">
        <f ca="1">IFERROR(SUMIF('res bld data'!$U$3:$U$107,"="&amp;$B15&amp;$C15&amp;$D15,'res bld data'!M$3:M$107)/SUMIF('res bld data'!$U$109:$U$123,"="&amp;$B15&amp;$C15,'res bld data'!M$109:M$123),0)</f>
        <v>0.36671314367427632</v>
      </c>
      <c r="AA15" s="116">
        <f ca="1">IFERROR(SUMIF('res bld data'!$U$3:$U$107,"="&amp;$B15&amp;$C15&amp;$D15,'res bld data'!O$3:O$107)/SUMIF('res bld data'!$U$109:$U$123,"="&amp;$B15&amp;$C15,'res bld data'!O$109:O$123),0)</f>
        <v>0.67186897605918017</v>
      </c>
    </row>
    <row r="16" spans="2:27">
      <c r="B16" s="20" t="s">
        <v>5</v>
      </c>
      <c r="C16" s="20" t="s">
        <v>371</v>
      </c>
      <c r="D16" s="20" t="s">
        <v>378</v>
      </c>
      <c r="E16" s="75">
        <f t="shared" ca="1" si="0"/>
        <v>4.2136146175200286</v>
      </c>
      <c r="F16" s="75">
        <f t="shared" ca="1" si="1"/>
        <v>12.991089332434342</v>
      </c>
      <c r="G16" s="21">
        <f t="shared" ca="1" si="16"/>
        <v>14755</v>
      </c>
      <c r="H16" s="21">
        <f t="shared" ref="H16:I16" ca="1" si="22">$S16*T16</f>
        <v>586283.80199715926</v>
      </c>
      <c r="I16" s="21">
        <f t="shared" ca="1" si="22"/>
        <v>627039.79594280478</v>
      </c>
      <c r="J16" s="21"/>
      <c r="K16" s="20">
        <v>2020</v>
      </c>
      <c r="L16" s="20">
        <v>2030</v>
      </c>
      <c r="M16" s="20">
        <v>2040</v>
      </c>
      <c r="N16" s="20">
        <v>2050</v>
      </c>
      <c r="R16" s="115"/>
      <c r="S16" s="22">
        <f ca="1">G16/SUMIF('res bld data'!$B$3:$B$14,"="&amp;B16,'res bld data'!$G$3:$G$14)</f>
        <v>0.20786081566528139</v>
      </c>
      <c r="T16" s="21">
        <f>SUMIFS('Projections by County'!$D$10:$D$36,'Projections by County'!$A$10:$A$36,B16,'Projections by County'!$C$10:$C$36,"Electricity (kWh)",'Projections by County'!$B$10:$B$36,"Residential")*BTU_per_kWh/1000000</f>
        <v>2820559.5177748799</v>
      </c>
      <c r="U16" s="21">
        <f>SUMIFS('Projections by County'!$D$10:$D$36,'Projections by County'!$A$10:$A$36,B16,'Projections by County'!$C$10:$C$36,"Natural Gas",'Projections by County'!$B$10:$B$36,"Residential")</f>
        <v>3016633</v>
      </c>
      <c r="V16" s="116"/>
      <c r="W16" s="116">
        <f ca="1">SUMIF('res bld data'!$U$3:$U$282,"="&amp;$B16&amp;$C16&amp;$D16,'res bld data'!M$3:M$282)/SUMIF('res bld data'!$U$3:$U$282,"="&amp;$B16&amp;$C16&amp;$D16,'res bld data'!$S$3:$S$282)</f>
        <v>0.32769670439221077</v>
      </c>
      <c r="X16" s="116">
        <f ca="1">SUMIF('res bld data'!$U$3:$U$282,"="&amp;$B16&amp;$C16&amp;$D16,'res bld data'!O$3:O$282)/SUMIF('res bld data'!$U$3:$U$282,"="&amp;$B16&amp;$C16&amp;$D16,'res bld data'!$S$3:$S$282)</f>
        <v>0.67230329560778934</v>
      </c>
      <c r="Z16" s="116">
        <f ca="1">IFERROR(SUMIF('res bld data'!$U$3:$U$107,"="&amp;$B16&amp;$C16&amp;$D16,'res bld data'!M$3:M$107)/SUMIF('res bld data'!$U$109:$U$123,"="&amp;$B16&amp;$C16,'res bld data'!M$109:M$123),0)</f>
        <v>0.10604400713395332</v>
      </c>
      <c r="AA16" s="116">
        <f ca="1">IFERROR(SUMIF('res bld data'!$U$3:$U$107,"="&amp;$B16&amp;$C16&amp;$D16,'res bld data'!O$3:O$107)/SUMIF('res bld data'!$U$109:$U$123,"="&amp;$B16&amp;$C16,'res bld data'!O$109:O$123),0)</f>
        <v>0.30569594520210175</v>
      </c>
    </row>
    <row r="17" spans="2:27">
      <c r="B17" s="20" t="s">
        <v>5</v>
      </c>
      <c r="C17" s="20" t="s">
        <v>373</v>
      </c>
      <c r="D17" s="20" t="s">
        <v>369</v>
      </c>
      <c r="E17" s="75">
        <f t="shared" ca="1" si="0"/>
        <v>7.358208332526317</v>
      </c>
      <c r="F17" s="75">
        <f t="shared" ca="1" si="1"/>
        <v>0</v>
      </c>
      <c r="G17" s="21">
        <f ca="1">VLOOKUP(B17&amp;C17,'res bld data'!$A$3:$H$37,7,FALSE)</f>
        <v>3856</v>
      </c>
      <c r="H17" s="21">
        <f t="shared" ref="H17:I17" ca="1" si="23">$S17*T17</f>
        <v>153216.55984419154</v>
      </c>
      <c r="I17" s="21">
        <f t="shared" ca="1" si="23"/>
        <v>163867.53325350425</v>
      </c>
      <c r="J17" s="21"/>
      <c r="K17" s="94">
        <f ca="1">P9</f>
        <v>0.13993561473045646</v>
      </c>
      <c r="L17" s="55">
        <v>6.9967807369999996E-2</v>
      </c>
      <c r="M17" s="20">
        <v>0</v>
      </c>
      <c r="N17" s="20">
        <v>0</v>
      </c>
      <c r="R17" s="115"/>
      <c r="S17" s="22">
        <f ca="1">G17/SUMIF('res bld data'!$B$3:$B$14,"="&amp;B17,'res bld data'!$G$3:$G$14)</f>
        <v>5.43213354934141E-2</v>
      </c>
      <c r="T17" s="21">
        <f>SUMIFS('Projections by County'!$D$10:$D$36,'Projections by County'!$A$10:$A$36,B17,'Projections by County'!$C$10:$C$36,"Electricity (kWh)",'Projections by County'!$B$10:$B$36,"Residential")*BTU_per_kWh/1000000</f>
        <v>2820559.5177748799</v>
      </c>
      <c r="U17" s="21">
        <f>SUMIFS('Projections by County'!$D$10:$D$36,'Projections by County'!$A$10:$A$36,B17,'Projections by County'!$C$10:$C$36,"Natural Gas",'Projections by County'!$B$10:$B$36,"Residential")</f>
        <v>3016633</v>
      </c>
      <c r="V17" s="116"/>
      <c r="W17" s="116">
        <f ca="1">SUMIF('res bld data'!$U$3:$U$282,"="&amp;$B17&amp;$C17&amp;$D17,'res bld data'!M$3:M$282)/SUMIF('res bld data'!$U$3:$U$282,"="&amp;$B17&amp;$C17&amp;$D17,'res bld data'!$S$3:$S$282)</f>
        <v>1</v>
      </c>
      <c r="X17" s="116">
        <f ca="1">SUMIF('res bld data'!$U$3:$U$282,"="&amp;$B17&amp;$C17&amp;$D17,'res bld data'!O$3:O$282)/SUMIF('res bld data'!$U$3:$U$282,"="&amp;$B17&amp;$C17&amp;$D17,'res bld data'!$S$3:$S$282)</f>
        <v>0</v>
      </c>
      <c r="Z17" s="116">
        <f ca="1">IFERROR(SUMIF('res bld data'!$U$3:$U$107,"="&amp;$B17&amp;$C17&amp;$D17,'res bld data'!M$3:M$107)/SUMIF('res bld data'!$U$109:$U$123,"="&amp;$B17&amp;$C17,'res bld data'!M$109:M$123),0)</f>
        <v>0.18518397331903752</v>
      </c>
      <c r="AA17" s="116">
        <f ca="1">IFERROR(SUMIF('res bld data'!$U$3:$U$107,"="&amp;$B17&amp;$C17&amp;$D17,'res bld data'!O$3:O$107)/SUMIF('res bld data'!$U$109:$U$123,"="&amp;$B17&amp;$C17,'res bld data'!O$109:O$123),0)</f>
        <v>0</v>
      </c>
    </row>
    <row r="18" spans="2:27">
      <c r="B18" s="20" t="s">
        <v>5</v>
      </c>
      <c r="C18" s="20" t="s">
        <v>373</v>
      </c>
      <c r="D18" s="20" t="s">
        <v>372</v>
      </c>
      <c r="E18" s="75">
        <f t="shared" ca="1" si="0"/>
        <v>4.7540487622931629</v>
      </c>
      <c r="F18" s="75">
        <f t="shared" ca="1" si="1"/>
        <v>1.3950210605054358</v>
      </c>
      <c r="G18" s="21">
        <f t="shared" ref="G18:G23" ca="1" si="24">G17</f>
        <v>3856</v>
      </c>
      <c r="H18" s="21">
        <f t="shared" ref="H18:I18" ca="1" si="25">$S18*T18</f>
        <v>153216.55984419154</v>
      </c>
      <c r="I18" s="21">
        <f t="shared" ca="1" si="25"/>
        <v>163867.53325350425</v>
      </c>
      <c r="J18" s="21"/>
      <c r="K18" s="20" t="s">
        <v>417</v>
      </c>
      <c r="L18" s="20" t="s">
        <v>417</v>
      </c>
      <c r="M18" s="20" t="s">
        <v>417</v>
      </c>
      <c r="N18" s="20" t="s">
        <v>417</v>
      </c>
      <c r="R18" s="115"/>
      <c r="S18" s="22">
        <f ca="1">G18/SUMIF('res bld data'!$B$3:$B$14,"="&amp;B18,'res bld data'!$G$3:$G$14)</f>
        <v>5.43213354934141E-2</v>
      </c>
      <c r="T18" s="21">
        <f>SUMIFS('Projections by County'!$D$10:$D$36,'Projections by County'!$A$10:$A$36,B18,'Projections by County'!$C$10:$C$36,"Electricity (kWh)",'Projections by County'!$B$10:$B$36,"Residential")*BTU_per_kWh/1000000</f>
        <v>2820559.5177748799</v>
      </c>
      <c r="U18" s="21">
        <f>SUMIFS('Projections by County'!$D$10:$D$36,'Projections by County'!$A$10:$A$36,B18,'Projections by County'!$C$10:$C$36,"Natural Gas",'Projections by County'!$B$10:$B$36,"Residential")</f>
        <v>3016633</v>
      </c>
      <c r="V18" s="116"/>
      <c r="W18" s="116">
        <f ca="1">SUMIF('res bld data'!$U$3:$U$282,"="&amp;$B18&amp;$C18&amp;$D18,'res bld data'!M$3:M$282)/SUMIF('res bld data'!$U$3:$U$282,"="&amp;$B18&amp;$C18&amp;$D18,'res bld data'!$S$3:$S$282)</f>
        <v>0.78452082204549334</v>
      </c>
      <c r="X18" s="116">
        <f ca="1">SUMIF('res bld data'!$U$3:$U$282,"="&amp;$B18&amp;$C18&amp;$D18,'res bld data'!O$3:O$282)/SUMIF('res bld data'!$U$3:$U$282,"="&amp;$B18&amp;$C18&amp;$D18,'res bld data'!$S$3:$S$282)</f>
        <v>0.21547917795450675</v>
      </c>
      <c r="Z18" s="116">
        <f ca="1">IFERROR(SUMIF('res bld data'!$U$3:$U$107,"="&amp;$B18&amp;$C18&amp;$D18,'res bld data'!M$3:M$107)/SUMIF('res bld data'!$U$109:$U$123,"="&amp;$B18&amp;$C18,'res bld data'!M$109:M$123),0)</f>
        <v>0.11964510915820167</v>
      </c>
      <c r="AA18" s="116">
        <f ca="1">IFERROR(SUMIF('res bld data'!$U$3:$U$107,"="&amp;$B18&amp;$C18&amp;$D18,'res bld data'!O$3:O$107)/SUMIF('res bld data'!$U$109:$U$123,"="&amp;$B18&amp;$C18,'res bld data'!O$109:O$123),0)</f>
        <v>3.2826522145709594E-2</v>
      </c>
    </row>
    <row r="19" spans="2:27">
      <c r="B19" s="20" t="s">
        <v>5</v>
      </c>
      <c r="C19" s="20" t="s">
        <v>373</v>
      </c>
      <c r="D19" s="20" t="s">
        <v>374</v>
      </c>
      <c r="E19" s="75">
        <f t="shared" ca="1" si="0"/>
        <v>8.036491096871675</v>
      </c>
      <c r="F19" s="75">
        <f t="shared" ca="1" si="1"/>
        <v>0</v>
      </c>
      <c r="G19" s="21">
        <f t="shared" ca="1" si="24"/>
        <v>3856</v>
      </c>
      <c r="H19" s="21">
        <f t="shared" ref="H19:I19" ca="1" si="26">$S19*T19</f>
        <v>153216.55984419154</v>
      </c>
      <c r="I19" s="21">
        <f t="shared" ca="1" si="26"/>
        <v>163867.53325350425</v>
      </c>
      <c r="J19" s="21"/>
      <c r="R19" s="115"/>
      <c r="S19" s="22">
        <f ca="1">G19/SUMIF('res bld data'!$B$3:$B$14,"="&amp;B19,'res bld data'!$G$3:$G$14)</f>
        <v>5.43213354934141E-2</v>
      </c>
      <c r="T19" s="21">
        <f>SUMIFS('Projections by County'!$D$10:$D$36,'Projections by County'!$A$10:$A$36,B19,'Projections by County'!$C$10:$C$36,"Electricity (kWh)",'Projections by County'!$B$10:$B$36,"Residential")*BTU_per_kWh/1000000</f>
        <v>2820559.5177748799</v>
      </c>
      <c r="U19" s="21">
        <f>SUMIFS('Projections by County'!$D$10:$D$36,'Projections by County'!$A$10:$A$36,B19,'Projections by County'!$C$10:$C$36,"Natural Gas",'Projections by County'!$B$10:$B$36,"Residential")</f>
        <v>3016633</v>
      </c>
      <c r="V19" s="116"/>
      <c r="W19" s="116">
        <f ca="1">SUMIF('res bld data'!$U$3:$U$282,"="&amp;$B19&amp;$C19&amp;$D19,'res bld data'!M$3:M$282)/SUMIF('res bld data'!$U$3:$U$282,"="&amp;$B19&amp;$C19&amp;$D19,'res bld data'!$S$3:$S$282)</f>
        <v>1</v>
      </c>
      <c r="X19" s="116">
        <f ca="1">SUMIF('res bld data'!$U$3:$U$282,"="&amp;$B19&amp;$C19&amp;$D19,'res bld data'!O$3:O$282)/SUMIF('res bld data'!$U$3:$U$282,"="&amp;$B19&amp;$C19&amp;$D19,'res bld data'!$S$3:$S$282)</f>
        <v>0</v>
      </c>
      <c r="Z19" s="116">
        <f ca="1">IFERROR(SUMIF('res bld data'!$U$3:$U$107,"="&amp;$B19&amp;$C19&amp;$D19,'res bld data'!M$3:M$107)/SUMIF('res bld data'!$U$109:$U$123,"="&amp;$B19&amp;$C19,'res bld data'!M$109:M$123),0)</f>
        <v>0.20225431050697204</v>
      </c>
      <c r="AA19" s="116">
        <f ca="1">IFERROR(SUMIF('res bld data'!$U$3:$U$107,"="&amp;$B19&amp;$C19&amp;$D19,'res bld data'!O$3:O$107)/SUMIF('res bld data'!$U$109:$U$123,"="&amp;$B19&amp;$C19,'res bld data'!O$109:O$123),0)</f>
        <v>0</v>
      </c>
    </row>
    <row r="20" spans="2:27">
      <c r="B20" s="20" t="s">
        <v>5</v>
      </c>
      <c r="C20" s="20" t="s">
        <v>373</v>
      </c>
      <c r="D20" s="20" t="s">
        <v>375</v>
      </c>
      <c r="E20" s="75">
        <f t="shared" ca="1" si="0"/>
        <v>1.7903008885811684</v>
      </c>
      <c r="F20" s="75">
        <f t="shared" ca="1" si="1"/>
        <v>0</v>
      </c>
      <c r="G20" s="21">
        <f t="shared" ca="1" si="24"/>
        <v>3856</v>
      </c>
      <c r="H20" s="21">
        <f t="shared" ref="H20:I20" ca="1" si="27">$S20*T20</f>
        <v>153216.55984419154</v>
      </c>
      <c r="I20" s="21">
        <f t="shared" ca="1" si="27"/>
        <v>163867.53325350425</v>
      </c>
      <c r="J20" s="21"/>
      <c r="R20" s="115"/>
      <c r="S20" s="22">
        <f ca="1">G20/SUMIF('res bld data'!$B$3:$B$14,"="&amp;B20,'res bld data'!$G$3:$G$14)</f>
        <v>5.43213354934141E-2</v>
      </c>
      <c r="T20" s="21">
        <f>SUMIFS('Projections by County'!$D$10:$D$36,'Projections by County'!$A$10:$A$36,B20,'Projections by County'!$C$10:$C$36,"Electricity (kWh)",'Projections by County'!$B$10:$B$36,"Residential")*BTU_per_kWh/1000000</f>
        <v>2820559.5177748799</v>
      </c>
      <c r="U20" s="21">
        <f>SUMIFS('Projections by County'!$D$10:$D$36,'Projections by County'!$A$10:$A$36,B20,'Projections by County'!$C$10:$C$36,"Natural Gas",'Projections by County'!$B$10:$B$36,"Residential")</f>
        <v>3016633</v>
      </c>
      <c r="V20" s="116"/>
      <c r="W20" s="116">
        <f ca="1">SUMIF('res bld data'!$U$3:$U$282,"="&amp;$B20&amp;$C20&amp;$D20,'res bld data'!M$3:M$282)/SUMIF('res bld data'!$U$3:$U$282,"="&amp;$B20&amp;$C20&amp;$D20,'res bld data'!$S$3:$S$282)</f>
        <v>1</v>
      </c>
      <c r="X20" s="116">
        <f ca="1">SUMIF('res bld data'!$U$3:$U$282,"="&amp;$B20&amp;$C20&amp;$D20,'res bld data'!O$3:O$282)/SUMIF('res bld data'!$U$3:$U$282,"="&amp;$B20&amp;$C20&amp;$D20,'res bld data'!$S$3:$S$282)</f>
        <v>0</v>
      </c>
      <c r="Z20" s="116">
        <f ca="1">IFERROR(SUMIF('res bld data'!$U$3:$U$107,"="&amp;$B20&amp;$C20&amp;$D20,'res bld data'!M$3:M$107)/SUMIF('res bld data'!$U$109:$U$123,"="&amp;$B20&amp;$C20,'res bld data'!M$109:M$123),0)</f>
        <v>4.5056488889903074E-2</v>
      </c>
      <c r="AA20" s="116">
        <f ca="1">IFERROR(SUMIF('res bld data'!$U$3:$U$107,"="&amp;$B20&amp;$C20&amp;$D20,'res bld data'!O$3:O$107)/SUMIF('res bld data'!$U$109:$U$123,"="&amp;$B20&amp;$C20,'res bld data'!O$109:O$123),0)</f>
        <v>0</v>
      </c>
    </row>
    <row r="21" spans="2:27">
      <c r="B21" s="20" t="s">
        <v>5</v>
      </c>
      <c r="C21" s="20" t="s">
        <v>373</v>
      </c>
      <c r="D21" s="20" t="s">
        <v>376</v>
      </c>
      <c r="E21" s="75">
        <f t="shared" ca="1" si="0"/>
        <v>3.7135739545801472</v>
      </c>
      <c r="F21" s="75">
        <f t="shared" ca="1" si="1"/>
        <v>0</v>
      </c>
      <c r="G21" s="21">
        <f t="shared" ca="1" si="24"/>
        <v>3856</v>
      </c>
      <c r="H21" s="21">
        <f t="shared" ref="H21:I21" ca="1" si="28">$S21*T21</f>
        <v>153216.55984419154</v>
      </c>
      <c r="I21" s="21">
        <f t="shared" ca="1" si="28"/>
        <v>163867.53325350425</v>
      </c>
      <c r="J21" s="21"/>
      <c r="R21" s="115"/>
      <c r="S21" s="22">
        <f ca="1">G21/SUMIF('res bld data'!$B$3:$B$14,"="&amp;B21,'res bld data'!$G$3:$G$14)</f>
        <v>5.43213354934141E-2</v>
      </c>
      <c r="T21" s="21">
        <f>SUMIFS('Projections by County'!$D$10:$D$36,'Projections by County'!$A$10:$A$36,B21,'Projections by County'!$C$10:$C$36,"Electricity (kWh)",'Projections by County'!$B$10:$B$36,"Residential")*BTU_per_kWh/1000000</f>
        <v>2820559.5177748799</v>
      </c>
      <c r="U21" s="21">
        <f>SUMIFS('Projections by County'!$D$10:$D$36,'Projections by County'!$A$10:$A$36,B21,'Projections by County'!$C$10:$C$36,"Natural Gas",'Projections by County'!$B$10:$B$36,"Residential")</f>
        <v>3016633</v>
      </c>
      <c r="V21" s="116"/>
      <c r="W21" s="116">
        <f ca="1">SUMIF('res bld data'!$U$3:$U$282,"="&amp;$B21&amp;$C21&amp;$D21,'res bld data'!M$3:M$282)/SUMIF('res bld data'!$U$3:$U$282,"="&amp;$B21&amp;$C21&amp;$D21,'res bld data'!$S$3:$S$282)</f>
        <v>1</v>
      </c>
      <c r="X21" s="116">
        <f ca="1">SUMIF('res bld data'!$U$3:$U$282,"="&amp;$B21&amp;$C21&amp;$D21,'res bld data'!O$3:O$282)/SUMIF('res bld data'!$U$3:$U$282,"="&amp;$B21&amp;$C21&amp;$D21,'res bld data'!$S$3:$S$282)</f>
        <v>0</v>
      </c>
      <c r="Z21" s="116">
        <f ca="1">IFERROR(SUMIF('res bld data'!$U$3:$U$107,"="&amp;$B21&amp;$C21&amp;$D21,'res bld data'!M$3:M$107)/SUMIF('res bld data'!$U$109:$U$123,"="&amp;$B21&amp;$C21,'res bld data'!M$109:M$123),0)</f>
        <v>9.3459487560762541E-2</v>
      </c>
      <c r="AA21" s="116">
        <f ca="1">IFERROR(SUMIF('res bld data'!$U$3:$U$107,"="&amp;$B21&amp;$C21&amp;$D21,'res bld data'!O$3:O$107)/SUMIF('res bld data'!$U$109:$U$123,"="&amp;$B21&amp;$C21,'res bld data'!O$109:O$123),0)</f>
        <v>0</v>
      </c>
    </row>
    <row r="22" spans="2:27">
      <c r="B22" s="20" t="s">
        <v>5</v>
      </c>
      <c r="C22" s="20" t="s">
        <v>373</v>
      </c>
      <c r="D22" s="20" t="s">
        <v>377</v>
      </c>
      <c r="E22" s="75">
        <f t="shared" ca="1" si="0"/>
        <v>12.516349161540184</v>
      </c>
      <c r="F22" s="75">
        <f t="shared" ca="1" si="1"/>
        <v>28.03620141008626</v>
      </c>
      <c r="G22" s="21">
        <f t="shared" ca="1" si="24"/>
        <v>3856</v>
      </c>
      <c r="H22" s="21">
        <f t="shared" ref="H22:I22" ca="1" si="29">$S22*T22</f>
        <v>153216.55984419154</v>
      </c>
      <c r="I22" s="21">
        <f t="shared" ca="1" si="29"/>
        <v>163867.53325350425</v>
      </c>
      <c r="J22" s="21"/>
      <c r="R22" s="115"/>
      <c r="S22" s="22">
        <f ca="1">G22/SUMIF('res bld data'!$B$3:$B$14,"="&amp;B22,'res bld data'!$G$3:$G$14)</f>
        <v>5.43213354934141E-2</v>
      </c>
      <c r="T22" s="21">
        <f>SUMIFS('Projections by County'!$D$10:$D$36,'Projections by County'!$A$10:$A$36,B22,'Projections by County'!$C$10:$C$36,"Electricity (kWh)",'Projections by County'!$B$10:$B$36,"Residential")*BTU_per_kWh/1000000</f>
        <v>2820559.5177748799</v>
      </c>
      <c r="U22" s="21">
        <f>SUMIFS('Projections by County'!$D$10:$D$36,'Projections by County'!$A$10:$A$36,B22,'Projections by County'!$C$10:$C$36,"Natural Gas",'Projections by County'!$B$10:$B$36,"Residential")</f>
        <v>3016633</v>
      </c>
      <c r="V22" s="116"/>
      <c r="W22" s="116">
        <f ca="1">SUMIF('res bld data'!$U$3:$U$282,"="&amp;$B22&amp;$C22&amp;$D22,'res bld data'!M$3:M$282)/SUMIF('res bld data'!$U$3:$U$282,"="&amp;$B22&amp;$C22&amp;$D22,'res bld data'!$S$3:$S$282)</f>
        <v>0.32292998700159337</v>
      </c>
      <c r="X22" s="116">
        <f ca="1">SUMIF('res bld data'!$U$3:$U$282,"="&amp;$B22&amp;$C22&amp;$D22,'res bld data'!O$3:O$282)/SUMIF('res bld data'!$U$3:$U$282,"="&amp;$B22&amp;$C22&amp;$D22,'res bld data'!$S$3:$S$282)</f>
        <v>0.67707001299840663</v>
      </c>
      <c r="Z22" s="116">
        <f ca="1">IFERROR(SUMIF('res bld data'!$U$3:$U$107,"="&amp;$B22&amp;$C22&amp;$D22,'res bld data'!M$3:M$107)/SUMIF('res bld data'!$U$109:$U$123,"="&amp;$B22&amp;$C22,'res bld data'!M$109:M$123),0)</f>
        <v>0.3149988644568083</v>
      </c>
      <c r="AA22" s="116">
        <f ca="1">IFERROR(SUMIF('res bld data'!$U$3:$U$107,"="&amp;$B22&amp;$C22&amp;$D22,'res bld data'!O$3:O$107)/SUMIF('res bld data'!$U$109:$U$123,"="&amp;$B22&amp;$C22,'res bld data'!O$109:O$123),0)</f>
        <v>0.65972551420572978</v>
      </c>
    </row>
    <row r="23" spans="2:27">
      <c r="B23" s="20" t="s">
        <v>5</v>
      </c>
      <c r="C23" s="20" t="s">
        <v>373</v>
      </c>
      <c r="D23" s="20" t="s">
        <v>378</v>
      </c>
      <c r="E23" s="75">
        <f t="shared" ca="1" si="0"/>
        <v>1.5656128254412518</v>
      </c>
      <c r="F23" s="75">
        <f t="shared" ca="1" si="1"/>
        <v>13.065544451997583</v>
      </c>
      <c r="G23" s="21">
        <f t="shared" ca="1" si="24"/>
        <v>3856</v>
      </c>
      <c r="H23" s="21">
        <f t="shared" ref="H23:I23" ca="1" si="30">$S23*T23</f>
        <v>153216.55984419154</v>
      </c>
      <c r="I23" s="21">
        <f t="shared" ca="1" si="30"/>
        <v>163867.53325350425</v>
      </c>
      <c r="J23" s="21"/>
      <c r="R23" s="115"/>
      <c r="S23" s="22">
        <f ca="1">G23/SUMIF('res bld data'!$B$3:$B$14,"="&amp;B23,'res bld data'!$G$3:$G$14)</f>
        <v>5.43213354934141E-2</v>
      </c>
      <c r="T23" s="21">
        <f>SUMIFS('Projections by County'!$D$10:$D$36,'Projections by County'!$A$10:$A$36,B23,'Projections by County'!$C$10:$C$36,"Electricity (kWh)",'Projections by County'!$B$10:$B$36,"Residential")*BTU_per_kWh/1000000</f>
        <v>2820559.5177748799</v>
      </c>
      <c r="U23" s="21">
        <f>SUMIFS('Projections by County'!$D$10:$D$36,'Projections by County'!$A$10:$A$36,B23,'Projections by County'!$C$10:$C$36,"Natural Gas",'Projections by County'!$B$10:$B$36,"Residential")</f>
        <v>3016633</v>
      </c>
      <c r="V23" s="116"/>
      <c r="W23" s="116">
        <f ca="1">SUMIF('res bld data'!$U$3:$U$282,"="&amp;$B23&amp;$C23&amp;$D23,'res bld data'!M$3:M$282)/SUMIF('res bld data'!$U$3:$U$282,"="&amp;$B23&amp;$C23&amp;$D23,'res bld data'!$S$3:$S$282)</f>
        <v>0.1134898142697299</v>
      </c>
      <c r="X23" s="116">
        <f ca="1">SUMIF('res bld data'!$U$3:$U$282,"="&amp;$B23&amp;$C23&amp;$D23,'res bld data'!O$3:O$282)/SUMIF('res bld data'!$U$3:$U$282,"="&amp;$B23&amp;$C23&amp;$D23,'res bld data'!$S$3:$S$282)</f>
        <v>0.88651018573026996</v>
      </c>
      <c r="Z23" s="116">
        <f ca="1">IFERROR(SUMIF('res bld data'!$U$3:$U$107,"="&amp;$B23&amp;$C23&amp;$D23,'res bld data'!M$3:M$107)/SUMIF('res bld data'!$U$109:$U$123,"="&amp;$B23&amp;$C23,'res bld data'!M$109:M$123),0)</f>
        <v>3.9401766108314897E-2</v>
      </c>
      <c r="AA23" s="116">
        <f ca="1">IFERROR(SUMIF('res bld data'!$U$3:$U$107,"="&amp;$B23&amp;$C23&amp;$D23,'res bld data'!O$3:O$107)/SUMIF('res bld data'!$U$109:$U$123,"="&amp;$B23&amp;$C23,'res bld data'!O$109:O$123),0)</f>
        <v>0.3074479636485607</v>
      </c>
    </row>
    <row r="24" spans="2:27">
      <c r="B24" s="20" t="s">
        <v>5</v>
      </c>
      <c r="C24" s="20" t="s">
        <v>370</v>
      </c>
      <c r="D24" s="20" t="s">
        <v>369</v>
      </c>
      <c r="E24" s="75">
        <f t="shared" ca="1" si="0"/>
        <v>4.1932753810523495</v>
      </c>
      <c r="F24" s="75">
        <f t="shared" ca="1" si="1"/>
        <v>1.7522139124893987E-2</v>
      </c>
      <c r="G24" s="21">
        <f ca="1">VLOOKUP(B24&amp;C24,'res bld data'!$A$3:$H$37,7,FALSE)</f>
        <v>51557</v>
      </c>
      <c r="H24" s="21">
        <f t="shared" ref="H24:I24" ca="1" si="31">$S24*T24</f>
        <v>2048595.9999706906</v>
      </c>
      <c r="I24" s="21">
        <f t="shared" ca="1" si="31"/>
        <v>2191005.8122279355</v>
      </c>
      <c r="J24" s="21"/>
      <c r="R24" s="115"/>
      <c r="S24" s="22">
        <f ca="1">G24/SUMIF('res bld data'!$B$3:$B$14,"="&amp;B24,'res bld data'!$G$3:$G$14)</f>
        <v>0.72630837500880463</v>
      </c>
      <c r="T24" s="21">
        <f>SUMIFS('Projections by County'!$D$10:$D$36,'Projections by County'!$A$10:$A$36,B24,'Projections by County'!$C$10:$C$36,"Electricity (kWh)",'Projections by County'!$B$10:$B$36,"Residential")*BTU_per_kWh/1000000</f>
        <v>2820559.5177748799</v>
      </c>
      <c r="U24" s="21">
        <f>SUMIFS('Projections by County'!$D$10:$D$36,'Projections by County'!$A$10:$A$36,B24,'Projections by County'!$C$10:$C$36,"Natural Gas",'Projections by County'!$B$10:$B$36,"Residential")</f>
        <v>3016633</v>
      </c>
      <c r="V24" s="116"/>
      <c r="W24" s="116">
        <f ca="1">SUMIF('res bld data'!$U$3:$U$282,"="&amp;$B24&amp;$C24&amp;$D24,'res bld data'!M$3:M$282)/SUMIF('res bld data'!$U$3:$U$282,"="&amp;$B24&amp;$C24&amp;$D24,'res bld data'!$S$3:$S$282)</f>
        <v>0.99366958230386315</v>
      </c>
      <c r="X24" s="116">
        <f ca="1">SUMIF('res bld data'!$U$3:$U$282,"="&amp;$B24&amp;$C24&amp;$D24,'res bld data'!O$3:O$282)/SUMIF('res bld data'!$U$3:$U$282,"="&amp;$B24&amp;$C24&amp;$D24,'res bld data'!$S$3:$S$282)</f>
        <v>6.3304176961368691E-3</v>
      </c>
      <c r="Z24" s="116">
        <f ca="1">IFERROR(SUMIF('res bld data'!$U$3:$U$107,"="&amp;$B24&amp;$C24&amp;$D24,'res bld data'!M$3:M$107)/SUMIF('res bld data'!$U$109:$U$123,"="&amp;$B24&amp;$C24,'res bld data'!M$109:M$123),0)</f>
        <v>0.10553212972397147</v>
      </c>
      <c r="AA24" s="116">
        <f ca="1">IFERROR(SUMIF('res bld data'!$U$3:$U$107,"="&amp;$B24&amp;$C24&amp;$D24,'res bld data'!O$3:O$107)/SUMIF('res bld data'!$U$109:$U$123,"="&amp;$B24&amp;$C24,'res bld data'!O$109:O$123),0)</f>
        <v>4.1231699241525222E-4</v>
      </c>
    </row>
    <row r="25" spans="2:27">
      <c r="B25" s="20" t="s">
        <v>5</v>
      </c>
      <c r="C25" s="20" t="s">
        <v>370</v>
      </c>
      <c r="D25" s="20" t="s">
        <v>372</v>
      </c>
      <c r="E25" s="75">
        <f t="shared" ca="1" si="0"/>
        <v>5.7476607316917425</v>
      </c>
      <c r="F25" s="75">
        <f t="shared" ca="1" si="1"/>
        <v>0.93886088325684824</v>
      </c>
      <c r="G25" s="21">
        <f t="shared" ref="G25:G30" ca="1" si="32">G24</f>
        <v>51557</v>
      </c>
      <c r="H25" s="21">
        <f t="shared" ref="H25:I25" ca="1" si="33">$S25*T25</f>
        <v>2048595.9999706906</v>
      </c>
      <c r="I25" s="21">
        <f t="shared" ca="1" si="33"/>
        <v>2191005.8122279355</v>
      </c>
      <c r="J25" s="21"/>
      <c r="R25" s="115"/>
      <c r="S25" s="22">
        <f ca="1">G25/SUMIF('res bld data'!$B$3:$B$14,"="&amp;B25,'res bld data'!$G$3:$G$14)</f>
        <v>0.72630837500880463</v>
      </c>
      <c r="T25" s="21">
        <f>SUMIFS('Projections by County'!$D$10:$D$36,'Projections by County'!$A$10:$A$36,B25,'Projections by County'!$C$10:$C$36,"Electricity (kWh)",'Projections by County'!$B$10:$B$36,"Residential")*BTU_per_kWh/1000000</f>
        <v>2820559.5177748799</v>
      </c>
      <c r="U25" s="21">
        <f>SUMIFS('Projections by County'!$D$10:$D$36,'Projections by County'!$A$10:$A$36,B25,'Projections by County'!$C$10:$C$36,"Natural Gas",'Projections by County'!$B$10:$B$36,"Residential")</f>
        <v>3016633</v>
      </c>
      <c r="V25" s="116"/>
      <c r="W25" s="116">
        <f ca="1">SUMIF('res bld data'!$U$3:$U$282,"="&amp;$B25&amp;$C25&amp;$D25,'res bld data'!M$3:M$282)/SUMIF('res bld data'!$U$3:$U$282,"="&amp;$B25&amp;$C25&amp;$D25,'res bld data'!$S$3:$S$282)</f>
        <v>0.80061573839839739</v>
      </c>
      <c r="X25" s="116">
        <f ca="1">SUMIF('res bld data'!$U$3:$U$282,"="&amp;$B25&amp;$C25&amp;$D25,'res bld data'!O$3:O$282)/SUMIF('res bld data'!$U$3:$U$282,"="&amp;$B25&amp;$C25&amp;$D25,'res bld data'!$S$3:$S$282)</f>
        <v>0.19938426160160264</v>
      </c>
      <c r="Z25" s="116">
        <f ca="1">IFERROR(SUMIF('res bld data'!$U$3:$U$107,"="&amp;$B25&amp;$C25&amp;$D25,'res bld data'!M$3:M$107)/SUMIF('res bld data'!$U$109:$U$123,"="&amp;$B25&amp;$C25,'res bld data'!M$109:M$123),0)</f>
        <v>0.14465133405906816</v>
      </c>
      <c r="AA25" s="116">
        <f ca="1">IFERROR(SUMIF('res bld data'!$U$3:$U$107,"="&amp;$B25&amp;$C25&amp;$D25,'res bld data'!O$3:O$107)/SUMIF('res bld data'!$U$109:$U$123,"="&amp;$B25&amp;$C25,'res bld data'!O$109:O$123),0)</f>
        <v>2.2092524943533857E-2</v>
      </c>
    </row>
    <row r="26" spans="2:27">
      <c r="B26" s="20" t="s">
        <v>5</v>
      </c>
      <c r="C26" s="20" t="s">
        <v>370</v>
      </c>
      <c r="D26" s="20" t="s">
        <v>374</v>
      </c>
      <c r="E26" s="75">
        <f t="shared" ca="1" si="0"/>
        <v>6.7632442867164988</v>
      </c>
      <c r="F26" s="75">
        <f t="shared" ca="1" si="1"/>
        <v>0</v>
      </c>
      <c r="G26" s="21">
        <f t="shared" ca="1" si="32"/>
        <v>51557</v>
      </c>
      <c r="H26" s="21">
        <f t="shared" ref="H26:I26" ca="1" si="34">$S26*T26</f>
        <v>2048595.9999706906</v>
      </c>
      <c r="I26" s="21">
        <f t="shared" ca="1" si="34"/>
        <v>2191005.8122279355</v>
      </c>
      <c r="J26" s="21"/>
      <c r="R26" s="115"/>
      <c r="S26" s="22">
        <f ca="1">G26/SUMIF('res bld data'!$B$3:$B$14,"="&amp;B26,'res bld data'!$G$3:$G$14)</f>
        <v>0.72630837500880463</v>
      </c>
      <c r="T26" s="21">
        <f>SUMIFS('Projections by County'!$D$10:$D$36,'Projections by County'!$A$10:$A$36,B26,'Projections by County'!$C$10:$C$36,"Electricity (kWh)",'Projections by County'!$B$10:$B$36,"Residential")*BTU_per_kWh/1000000</f>
        <v>2820559.5177748799</v>
      </c>
      <c r="U26" s="21">
        <f>SUMIFS('Projections by County'!$D$10:$D$36,'Projections by County'!$A$10:$A$36,B26,'Projections by County'!$C$10:$C$36,"Natural Gas",'Projections by County'!$B$10:$B$36,"Residential")</f>
        <v>3016633</v>
      </c>
      <c r="V26" s="116"/>
      <c r="W26" s="116">
        <f ca="1">SUMIF('res bld data'!$U$3:$U$282,"="&amp;$B26&amp;$C26&amp;$D26,'res bld data'!M$3:M$282)/SUMIF('res bld data'!$U$3:$U$282,"="&amp;$B26&amp;$C26&amp;$D26,'res bld data'!$S$3:$S$282)</f>
        <v>1</v>
      </c>
      <c r="X26" s="116">
        <f ca="1">SUMIF('res bld data'!$U$3:$U$282,"="&amp;$B26&amp;$C26&amp;$D26,'res bld data'!O$3:O$282)/SUMIF('res bld data'!$U$3:$U$282,"="&amp;$B26&amp;$C26&amp;$D26,'res bld data'!$S$3:$S$282)</f>
        <v>0</v>
      </c>
      <c r="Z26" s="116">
        <f ca="1">IFERROR(SUMIF('res bld data'!$U$3:$U$107,"="&amp;$B26&amp;$C26&amp;$D26,'res bld data'!M$3:M$107)/SUMIF('res bld data'!$U$109:$U$123,"="&amp;$B26&amp;$C26,'res bld data'!M$109:M$123),0)</f>
        <v>0.17021051768881287</v>
      </c>
      <c r="AA26" s="116">
        <f ca="1">IFERROR(SUMIF('res bld data'!$U$3:$U$107,"="&amp;$B26&amp;$C26&amp;$D26,'res bld data'!O$3:O$107)/SUMIF('res bld data'!$U$109:$U$123,"="&amp;$B26&amp;$C26,'res bld data'!O$109:O$123),0)</f>
        <v>0</v>
      </c>
    </row>
    <row r="27" spans="2:27">
      <c r="B27" s="20" t="s">
        <v>5</v>
      </c>
      <c r="C27" s="20" t="s">
        <v>370</v>
      </c>
      <c r="D27" s="20" t="s">
        <v>375</v>
      </c>
      <c r="E27" s="75">
        <f t="shared" ca="1" si="0"/>
        <v>2.4634551511213485</v>
      </c>
      <c r="F27" s="75">
        <f t="shared" ca="1" si="1"/>
        <v>0</v>
      </c>
      <c r="G27" s="21">
        <f t="shared" ca="1" si="32"/>
        <v>51557</v>
      </c>
      <c r="H27" s="21">
        <f t="shared" ref="H27:I27" ca="1" si="35">$S27*T27</f>
        <v>2048595.9999706906</v>
      </c>
      <c r="I27" s="21">
        <f t="shared" ca="1" si="35"/>
        <v>2191005.8122279355</v>
      </c>
      <c r="J27" s="21"/>
      <c r="R27" s="115"/>
      <c r="S27" s="22">
        <f ca="1">G27/SUMIF('res bld data'!$B$3:$B$14,"="&amp;B27,'res bld data'!$G$3:$G$14)</f>
        <v>0.72630837500880463</v>
      </c>
      <c r="T27" s="21">
        <f>SUMIFS('Projections by County'!$D$10:$D$36,'Projections by County'!$A$10:$A$36,B27,'Projections by County'!$C$10:$C$36,"Electricity (kWh)",'Projections by County'!$B$10:$B$36,"Residential")*BTU_per_kWh/1000000</f>
        <v>2820559.5177748799</v>
      </c>
      <c r="U27" s="21">
        <f>SUMIFS('Projections by County'!$D$10:$D$36,'Projections by County'!$A$10:$A$36,B27,'Projections by County'!$C$10:$C$36,"Natural Gas",'Projections by County'!$B$10:$B$36,"Residential")</f>
        <v>3016633</v>
      </c>
      <c r="V27" s="116"/>
      <c r="W27" s="116">
        <f ca="1">SUMIF('res bld data'!$U$3:$U$282,"="&amp;$B27&amp;$C27&amp;$D27,'res bld data'!M$3:M$282)/SUMIF('res bld data'!$U$3:$U$282,"="&amp;$B27&amp;$C27&amp;$D27,'res bld data'!$S$3:$S$282)</f>
        <v>1</v>
      </c>
      <c r="X27" s="116">
        <f ca="1">SUMIF('res bld data'!$U$3:$U$282,"="&amp;$B27&amp;$C27&amp;$D27,'res bld data'!O$3:O$282)/SUMIF('res bld data'!$U$3:$U$282,"="&amp;$B27&amp;$C27&amp;$D27,'res bld data'!$S$3:$S$282)</f>
        <v>0</v>
      </c>
      <c r="Z27" s="116">
        <f ca="1">IFERROR(SUMIF('res bld data'!$U$3:$U$107,"="&amp;$B27&amp;$C27&amp;$D27,'res bld data'!M$3:M$107)/SUMIF('res bld data'!$U$109:$U$123,"="&amp;$B27&amp;$C27,'res bld data'!M$109:M$123),0)</f>
        <v>6.1997757111788017E-2</v>
      </c>
      <c r="AA27" s="116">
        <f ca="1">IFERROR(SUMIF('res bld data'!$U$3:$U$107,"="&amp;$B27&amp;$C27&amp;$D27,'res bld data'!O$3:O$107)/SUMIF('res bld data'!$U$109:$U$123,"="&amp;$B27&amp;$C27,'res bld data'!O$109:O$123),0)</f>
        <v>0</v>
      </c>
    </row>
    <row r="28" spans="2:27">
      <c r="B28" s="20" t="s">
        <v>5</v>
      </c>
      <c r="C28" s="20" t="s">
        <v>370</v>
      </c>
      <c r="D28" s="20" t="s">
        <v>376</v>
      </c>
      <c r="E28" s="75">
        <f t="shared" ca="1" si="0"/>
        <v>4.3176174023855989</v>
      </c>
      <c r="F28" s="75">
        <f t="shared" ca="1" si="1"/>
        <v>0</v>
      </c>
      <c r="G28" s="21">
        <f t="shared" ca="1" si="32"/>
        <v>51557</v>
      </c>
      <c r="H28" s="21">
        <f t="shared" ref="H28:I28" ca="1" si="36">$S28*T28</f>
        <v>2048595.9999706906</v>
      </c>
      <c r="I28" s="21">
        <f t="shared" ca="1" si="36"/>
        <v>2191005.8122279355</v>
      </c>
      <c r="J28" s="21"/>
      <c r="R28" s="115"/>
      <c r="S28" s="22">
        <f ca="1">G28/SUMIF('res bld data'!$B$3:$B$14,"="&amp;B28,'res bld data'!$G$3:$G$14)</f>
        <v>0.72630837500880463</v>
      </c>
      <c r="T28" s="21">
        <f>SUMIFS('Projections by County'!$D$10:$D$36,'Projections by County'!$A$10:$A$36,B28,'Projections by County'!$C$10:$C$36,"Electricity (kWh)",'Projections by County'!$B$10:$B$36,"Residential")*BTU_per_kWh/1000000</f>
        <v>2820559.5177748799</v>
      </c>
      <c r="U28" s="21">
        <f>SUMIFS('Projections by County'!$D$10:$D$36,'Projections by County'!$A$10:$A$36,B28,'Projections by County'!$C$10:$C$36,"Natural Gas",'Projections by County'!$B$10:$B$36,"Residential")</f>
        <v>3016633</v>
      </c>
      <c r="V28" s="116"/>
      <c r="W28" s="116">
        <f ca="1">SUMIF('res bld data'!$U$3:$U$282,"="&amp;$B28&amp;$C28&amp;$D28,'res bld data'!M$3:M$282)/SUMIF('res bld data'!$U$3:$U$282,"="&amp;$B28&amp;$C28&amp;$D28,'res bld data'!$S$3:$S$282)</f>
        <v>1</v>
      </c>
      <c r="X28" s="116">
        <f ca="1">SUMIF('res bld data'!$U$3:$U$282,"="&amp;$B28&amp;$C28&amp;$D28,'res bld data'!O$3:O$282)/SUMIF('res bld data'!$U$3:$U$282,"="&amp;$B28&amp;$C28&amp;$D28,'res bld data'!$S$3:$S$282)</f>
        <v>0</v>
      </c>
      <c r="Z28" s="116">
        <f ca="1">IFERROR(SUMIF('res bld data'!$U$3:$U$107,"="&amp;$B28&amp;$C28&amp;$D28,'res bld data'!M$3:M$107)/SUMIF('res bld data'!$U$109:$U$123,"="&amp;$B28&amp;$C28,'res bld data'!M$109:M$123),0)</f>
        <v>0.10866144443217654</v>
      </c>
      <c r="AA28" s="116">
        <f ca="1">IFERROR(SUMIF('res bld data'!$U$3:$U$107,"="&amp;$B28&amp;$C28&amp;$D28,'res bld data'!O$3:O$107)/SUMIF('res bld data'!$U$109:$U$123,"="&amp;$B28&amp;$C28,'res bld data'!O$109:O$123),0)</f>
        <v>0</v>
      </c>
    </row>
    <row r="29" spans="2:27">
      <c r="B29" s="20" t="s">
        <v>5</v>
      </c>
      <c r="C29" s="20" t="s">
        <v>370</v>
      </c>
      <c r="D29" s="20" t="s">
        <v>377</v>
      </c>
      <c r="E29" s="75">
        <f t="shared" ca="1" si="0"/>
        <v>13.253481543915322</v>
      </c>
      <c r="F29" s="75">
        <f t="shared" ca="1" si="1"/>
        <v>36.122671893069061</v>
      </c>
      <c r="G29" s="21">
        <f t="shared" ca="1" si="32"/>
        <v>51557</v>
      </c>
      <c r="H29" s="21">
        <f t="shared" ref="H29:I29" ca="1" si="37">$S29*T29</f>
        <v>2048595.9999706906</v>
      </c>
      <c r="I29" s="21">
        <f t="shared" ca="1" si="37"/>
        <v>2191005.8122279355</v>
      </c>
      <c r="J29" s="21"/>
      <c r="R29" s="115"/>
      <c r="S29" s="22">
        <f ca="1">G29/SUMIF('res bld data'!$B$3:$B$14,"="&amp;B29,'res bld data'!$G$3:$G$14)</f>
        <v>0.72630837500880463</v>
      </c>
      <c r="T29" s="21">
        <f>SUMIFS('Projections by County'!$D$10:$D$36,'Projections by County'!$A$10:$A$36,B29,'Projections by County'!$C$10:$C$36,"Electricity (kWh)",'Projections by County'!$B$10:$B$36,"Residential")*BTU_per_kWh/1000000</f>
        <v>2820559.5177748799</v>
      </c>
      <c r="U29" s="21">
        <f>SUMIFS('Projections by County'!$D$10:$D$36,'Projections by County'!$A$10:$A$36,B29,'Projections by County'!$C$10:$C$36,"Natural Gas",'Projections by County'!$B$10:$B$36,"Residential")</f>
        <v>3016633</v>
      </c>
      <c r="V29" s="116"/>
      <c r="W29" s="116">
        <f ca="1">SUMIF('res bld data'!$U$3:$U$282,"="&amp;$B29&amp;$C29&amp;$D29,'res bld data'!M$3:M$282)/SUMIF('res bld data'!$U$3:$U$282,"="&amp;$B29&amp;$C29&amp;$D29,'res bld data'!$S$3:$S$282)</f>
        <v>0.19397364342899787</v>
      </c>
      <c r="X29" s="116">
        <f ca="1">SUMIF('res bld data'!$U$3:$U$282,"="&amp;$B29&amp;$C29&amp;$D29,'res bld data'!O$3:O$282)/SUMIF('res bld data'!$U$3:$U$282,"="&amp;$B29&amp;$C29&amp;$D29,'res bld data'!$S$3:$S$282)</f>
        <v>0.80602635657100197</v>
      </c>
      <c r="Z29" s="116">
        <f ca="1">IFERROR(SUMIF('res bld data'!$U$3:$U$107,"="&amp;$B29&amp;$C29&amp;$D29,'res bld data'!M$3:M$107)/SUMIF('res bld data'!$U$109:$U$123,"="&amp;$B29&amp;$C29,'res bld data'!M$109:M$123),0)</f>
        <v>0.33355026953553479</v>
      </c>
      <c r="AA29" s="116">
        <f ca="1">IFERROR(SUMIF('res bld data'!$U$3:$U$107,"="&amp;$B29&amp;$C29&amp;$D29,'res bld data'!O$3:O$107)/SUMIF('res bld data'!$U$109:$U$123,"="&amp;$B29&amp;$C29,'res bld data'!O$109:O$123),0)</f>
        <v>0.85000988331345151</v>
      </c>
    </row>
    <row r="30" spans="2:27">
      <c r="B30" s="20" t="s">
        <v>5</v>
      </c>
      <c r="C30" s="20" t="s">
        <v>370</v>
      </c>
      <c r="D30" s="20" t="s">
        <v>378</v>
      </c>
      <c r="E30" s="75">
        <f t="shared" ca="1" si="0"/>
        <v>2.9958505249510519</v>
      </c>
      <c r="F30" s="75">
        <f t="shared" ca="1" si="1"/>
        <v>5.4177120071384772</v>
      </c>
      <c r="G30" s="21">
        <f t="shared" ca="1" si="32"/>
        <v>51557</v>
      </c>
      <c r="H30" s="21">
        <f t="shared" ref="H30:I30" ca="1" si="38">$S30*T30</f>
        <v>2048595.9999706906</v>
      </c>
      <c r="I30" s="21">
        <f t="shared" ca="1" si="38"/>
        <v>2191005.8122279355</v>
      </c>
      <c r="J30" s="21"/>
      <c r="R30" s="115"/>
      <c r="S30" s="22">
        <f ca="1">G30/SUMIF('res bld data'!$B$3:$B$14,"="&amp;B30,'res bld data'!$G$3:$G$14)</f>
        <v>0.72630837500880463</v>
      </c>
      <c r="T30" s="21">
        <f>SUMIFS('Projections by County'!$D$10:$D$36,'Projections by County'!$A$10:$A$36,B30,'Projections by County'!$C$10:$C$36,"Electricity (kWh)",'Projections by County'!$B$10:$B$36,"Residential")*BTU_per_kWh/1000000</f>
        <v>2820559.5177748799</v>
      </c>
      <c r="U30" s="21">
        <f>SUMIFS('Projections by County'!$D$10:$D$36,'Projections by County'!$A$10:$A$36,B30,'Projections by County'!$C$10:$C$36,"Natural Gas",'Projections by County'!$B$10:$B$36,"Residential")</f>
        <v>3016633</v>
      </c>
      <c r="V30" s="116"/>
      <c r="W30" s="116">
        <f ca="1">SUMIF('res bld data'!$U$3:$U$282,"="&amp;$B30&amp;$C30&amp;$D30,'res bld data'!M$3:M$282)/SUMIF('res bld data'!$U$3:$U$282,"="&amp;$B30&amp;$C30&amp;$D30,'res bld data'!$S$3:$S$282)</f>
        <v>0.26616278257444753</v>
      </c>
      <c r="X30" s="116">
        <f ca="1">SUMIF('res bld data'!$U$3:$U$282,"="&amp;$B30&amp;$C30&amp;$D30,'res bld data'!O$3:O$282)/SUMIF('res bld data'!$U$3:$U$282,"="&amp;$B30&amp;$C30&amp;$D30,'res bld data'!$S$3:$S$282)</f>
        <v>0.73383721742555252</v>
      </c>
      <c r="Z30" s="116">
        <f ca="1">IFERROR(SUMIF('res bld data'!$U$3:$U$107,"="&amp;$B30&amp;$C30&amp;$D30,'res bld data'!M$3:M$107)/SUMIF('res bld data'!$U$109:$U$123,"="&amp;$B30&amp;$C30,'res bld data'!M$109:M$123),0)</f>
        <v>7.5396547448648349E-2</v>
      </c>
      <c r="AA30" s="116">
        <f ca="1">IFERROR(SUMIF('res bld data'!$U$3:$U$107,"="&amp;$B30&amp;$C30&amp;$D30,'res bld data'!O$3:O$107)/SUMIF('res bld data'!$U$109:$U$123,"="&amp;$B30&amp;$C30,'res bld data'!O$109:O$123),0)</f>
        <v>0.12748527475059934</v>
      </c>
    </row>
    <row r="31" spans="2:27">
      <c r="B31" s="20" t="s">
        <v>9</v>
      </c>
      <c r="C31" s="20" t="s">
        <v>366</v>
      </c>
      <c r="D31" s="20" t="s">
        <v>369</v>
      </c>
      <c r="E31" s="75">
        <f t="shared" ca="1" si="0"/>
        <v>1.2562172913022078</v>
      </c>
      <c r="F31" s="75">
        <f t="shared" ca="1" si="1"/>
        <v>0</v>
      </c>
      <c r="G31" s="21">
        <f ca="1">VLOOKUP(B31&amp;C31,'res bld data'!$A$3:$H$37,7,FALSE)</f>
        <v>793</v>
      </c>
      <c r="H31" s="21">
        <f t="shared" ref="H31:I31" ca="1" si="39">$S31*T31</f>
        <v>31120.573392546776</v>
      </c>
      <c r="I31" s="21">
        <f t="shared" ca="1" si="39"/>
        <v>31102.701178843257</v>
      </c>
      <c r="J31" s="21"/>
      <c r="R31" s="115"/>
      <c r="S31" s="22">
        <f ca="1">G31/SUMIF('res bld data'!$B$3:$B$14,"="&amp;B31,'res bld data'!$G$3:$G$14)</f>
        <v>1.7050096753386368E-2</v>
      </c>
      <c r="T31" s="21">
        <f>SUMIFS('Projections by County'!$D$10:$D$36,'Projections by County'!$A$10:$A$36,B31,'Projections by County'!$C$10:$C$36,"Electricity (kWh)",'Projections by County'!$B$10:$B$36,"Residential")*BTU_per_kWh/1000000</f>
        <v>1825243.2137293199</v>
      </c>
      <c r="U31" s="21">
        <f>SUMIFS('Projections by County'!$D$10:$D$36,'Projections by County'!$A$10:$A$36,B31,'Projections by County'!$C$10:$C$36,"Natural Gas",'Projections by County'!$B$10:$B$36,"Residential")</f>
        <v>1824194.996</v>
      </c>
      <c r="V31" s="116"/>
      <c r="W31" s="116">
        <f ca="1">SUMIF('res bld data'!$U$3:$U$282,"="&amp;$B31&amp;$C31&amp;$D31,'res bld data'!M$3:M$282)/SUMIF('res bld data'!$U$3:$U$282,"="&amp;$B31&amp;$C31&amp;$D31,'res bld data'!$S$3:$S$282)</f>
        <v>1</v>
      </c>
      <c r="X31" s="116">
        <f ca="1">SUMIF('res bld data'!$U$3:$U$282,"="&amp;$B31&amp;$C31&amp;$D31,'res bld data'!O$3:O$282)/SUMIF('res bld data'!$U$3:$U$282,"="&amp;$B31&amp;$C31&amp;$D31,'res bld data'!$S$3:$S$282)</f>
        <v>0</v>
      </c>
      <c r="Z31" s="116">
        <f ca="1">IFERROR(SUMIF('res bld data'!$U$3:$U$107,"="&amp;$B31&amp;$C31&amp;$D31,'res bld data'!M$3:M$107)/SUMIF('res bld data'!$U$109:$U$123,"="&amp;$B31&amp;$C31,'res bld data'!M$109:M$123),0)</f>
        <v>3.2010345678310383E-2</v>
      </c>
      <c r="AA31" s="116">
        <f ca="1">IFERROR(SUMIF('res bld data'!$U$3:$U$107,"="&amp;$B31&amp;$C31&amp;$D31,'res bld data'!O$3:O$107)/SUMIF('res bld data'!$U$109:$U$123,"="&amp;$B31&amp;$C31,'res bld data'!O$109:O$123),0)</f>
        <v>0</v>
      </c>
    </row>
    <row r="32" spans="2:27">
      <c r="B32" s="20" t="s">
        <v>9</v>
      </c>
      <c r="C32" s="20" t="s">
        <v>366</v>
      </c>
      <c r="D32" s="20" t="s">
        <v>372</v>
      </c>
      <c r="E32" s="75">
        <f t="shared" ca="1" si="0"/>
        <v>4.2721365955280097</v>
      </c>
      <c r="F32" s="75">
        <f t="shared" ca="1" si="1"/>
        <v>0.49034253395724603</v>
      </c>
      <c r="G32" s="21">
        <f t="shared" ref="G32:G37" ca="1" si="40">G31</f>
        <v>793</v>
      </c>
      <c r="H32" s="21">
        <f t="shared" ref="H32:I32" ca="1" si="41">$S32*T32</f>
        <v>31120.573392546776</v>
      </c>
      <c r="I32" s="21">
        <f t="shared" ca="1" si="41"/>
        <v>31102.701178843257</v>
      </c>
      <c r="J32" s="21"/>
      <c r="R32" s="115"/>
      <c r="S32" s="22">
        <f ca="1">G32/SUMIF('res bld data'!$B$3:$B$14,"="&amp;B32,'res bld data'!$G$3:$G$14)</f>
        <v>1.7050096753386368E-2</v>
      </c>
      <c r="T32" s="21">
        <f>SUMIFS('Projections by County'!$D$10:$D$36,'Projections by County'!$A$10:$A$36,B32,'Projections by County'!$C$10:$C$36,"Electricity (kWh)",'Projections by County'!$B$10:$B$36,"Residential")*BTU_per_kWh/1000000</f>
        <v>1825243.2137293199</v>
      </c>
      <c r="U32" s="21">
        <f>SUMIFS('Projections by County'!$D$10:$D$36,'Projections by County'!$A$10:$A$36,B32,'Projections by County'!$C$10:$C$36,"Natural Gas",'Projections by County'!$B$10:$B$36,"Residential")</f>
        <v>1824194.996</v>
      </c>
      <c r="V32" s="116"/>
      <c r="W32" s="116">
        <f ca="1">SUMIF('res bld data'!$U$3:$U$282,"="&amp;$B32&amp;$C32&amp;$D32,'res bld data'!M$3:M$282)/SUMIF('res bld data'!$U$3:$U$282,"="&amp;$B32&amp;$C32&amp;$D32,'res bld data'!$S$3:$S$282)</f>
        <v>0.8022221216591523</v>
      </c>
      <c r="X32" s="116">
        <f ca="1">SUMIF('res bld data'!$U$3:$U$282,"="&amp;$B32&amp;$C32&amp;$D32,'res bld data'!O$3:O$282)/SUMIF('res bld data'!$U$3:$U$282,"="&amp;$B32&amp;$C32&amp;$D32,'res bld data'!$S$3:$S$282)</f>
        <v>0.19777787834084787</v>
      </c>
      <c r="Z32" s="116">
        <f ca="1">IFERROR(SUMIF('res bld data'!$U$3:$U$107,"="&amp;$B32&amp;$C32&amp;$D32,'res bld data'!M$3:M$107)/SUMIF('res bld data'!$U$109:$U$123,"="&amp;$B32&amp;$C32,'res bld data'!M$109:M$123),0)</f>
        <v>0.1088606009124843</v>
      </c>
      <c r="AA32" s="116">
        <f ca="1">IFERROR(SUMIF('res bld data'!$U$3:$U$107,"="&amp;$B32&amp;$C32&amp;$D32,'res bld data'!O$3:O$107)/SUMIF('res bld data'!$U$109:$U$123,"="&amp;$B32&amp;$C32,'res bld data'!O$109:O$123),0)</f>
        <v>1.2501860439459025E-2</v>
      </c>
    </row>
    <row r="33" spans="2:27">
      <c r="B33" s="20" t="s">
        <v>9</v>
      </c>
      <c r="C33" s="20" t="s">
        <v>366</v>
      </c>
      <c r="D33" s="20" t="s">
        <v>374</v>
      </c>
      <c r="E33" s="75">
        <f t="shared" ca="1" si="0"/>
        <v>4.2859173166227835</v>
      </c>
      <c r="F33" s="75">
        <f t="shared" ca="1" si="1"/>
        <v>0</v>
      </c>
      <c r="G33" s="21">
        <f t="shared" ca="1" si="40"/>
        <v>793</v>
      </c>
      <c r="H33" s="21">
        <f t="shared" ref="H33:I33" ca="1" si="42">$S33*T33</f>
        <v>31120.573392546776</v>
      </c>
      <c r="I33" s="21">
        <f t="shared" ca="1" si="42"/>
        <v>31102.701178843257</v>
      </c>
      <c r="J33" s="21"/>
      <c r="R33" s="115"/>
      <c r="S33" s="22">
        <f ca="1">G33/SUMIF('res bld data'!$B$3:$B$14,"="&amp;B33,'res bld data'!$G$3:$G$14)</f>
        <v>1.7050096753386368E-2</v>
      </c>
      <c r="T33" s="21">
        <f>SUMIFS('Projections by County'!$D$10:$D$36,'Projections by County'!$A$10:$A$36,B33,'Projections by County'!$C$10:$C$36,"Electricity (kWh)",'Projections by County'!$B$10:$B$36,"Residential")*BTU_per_kWh/1000000</f>
        <v>1825243.2137293199</v>
      </c>
      <c r="U33" s="21">
        <f>SUMIFS('Projections by County'!$D$10:$D$36,'Projections by County'!$A$10:$A$36,B33,'Projections by County'!$C$10:$C$36,"Natural Gas",'Projections by County'!$B$10:$B$36,"Residential")</f>
        <v>1824194.996</v>
      </c>
      <c r="V33" s="116"/>
      <c r="W33" s="116">
        <f ca="1">SUMIF('res bld data'!$U$3:$U$282,"="&amp;$B33&amp;$C33&amp;$D33,'res bld data'!M$3:M$282)/SUMIF('res bld data'!$U$3:$U$282,"="&amp;$B33&amp;$C33&amp;$D33,'res bld data'!$S$3:$S$282)</f>
        <v>1</v>
      </c>
      <c r="X33" s="116">
        <f ca="1">SUMIF('res bld data'!$U$3:$U$282,"="&amp;$B33&amp;$C33&amp;$D33,'res bld data'!O$3:O$282)/SUMIF('res bld data'!$U$3:$U$282,"="&amp;$B33&amp;$C33&amp;$D33,'res bld data'!$S$3:$S$282)</f>
        <v>0</v>
      </c>
      <c r="Z33" s="116">
        <f ca="1">IFERROR(SUMIF('res bld data'!$U$3:$U$107,"="&amp;$B33&amp;$C33&amp;$D33,'res bld data'!M$3:M$107)/SUMIF('res bld data'!$U$109:$U$123,"="&amp;$B33&amp;$C33,'res bld data'!M$109:M$123),0)</f>
        <v>0.10921175484818821</v>
      </c>
      <c r="AA33" s="116">
        <f ca="1">IFERROR(SUMIF('res bld data'!$U$3:$U$107,"="&amp;$B33&amp;$C33&amp;$D33,'res bld data'!O$3:O$107)/SUMIF('res bld data'!$U$109:$U$123,"="&amp;$B33&amp;$C33,'res bld data'!O$109:O$123),0)</f>
        <v>0</v>
      </c>
    </row>
    <row r="34" spans="2:27">
      <c r="B34" s="20" t="s">
        <v>9</v>
      </c>
      <c r="C34" s="20" t="s">
        <v>366</v>
      </c>
      <c r="D34" s="20" t="s">
        <v>375</v>
      </c>
      <c r="E34" s="75">
        <f t="shared" ca="1" si="0"/>
        <v>1.6407396498923468</v>
      </c>
      <c r="F34" s="75">
        <f t="shared" ca="1" si="1"/>
        <v>0</v>
      </c>
      <c r="G34" s="21">
        <f t="shared" ca="1" si="40"/>
        <v>793</v>
      </c>
      <c r="H34" s="21">
        <f t="shared" ref="H34:I34" ca="1" si="43">$S34*T34</f>
        <v>31120.573392546776</v>
      </c>
      <c r="I34" s="21">
        <f t="shared" ca="1" si="43"/>
        <v>31102.701178843257</v>
      </c>
      <c r="J34" s="21"/>
      <c r="R34" s="115"/>
      <c r="S34" s="22">
        <f ca="1">G34/SUMIF('res bld data'!$B$3:$B$14,"="&amp;B34,'res bld data'!$G$3:$G$14)</f>
        <v>1.7050096753386368E-2</v>
      </c>
      <c r="T34" s="21">
        <f>SUMIFS('Projections by County'!$D$10:$D$36,'Projections by County'!$A$10:$A$36,B34,'Projections by County'!$C$10:$C$36,"Electricity (kWh)",'Projections by County'!$B$10:$B$36,"Residential")*BTU_per_kWh/1000000</f>
        <v>1825243.2137293199</v>
      </c>
      <c r="U34" s="21">
        <f>SUMIFS('Projections by County'!$D$10:$D$36,'Projections by County'!$A$10:$A$36,B34,'Projections by County'!$C$10:$C$36,"Natural Gas",'Projections by County'!$B$10:$B$36,"Residential")</f>
        <v>1824194.996</v>
      </c>
      <c r="V34" s="116"/>
      <c r="W34" s="116">
        <f ca="1">SUMIF('res bld data'!$U$3:$U$282,"="&amp;$B34&amp;$C34&amp;$D34,'res bld data'!M$3:M$282)/SUMIF('res bld data'!$U$3:$U$282,"="&amp;$B34&amp;$C34&amp;$D34,'res bld data'!$S$3:$S$282)</f>
        <v>1</v>
      </c>
      <c r="X34" s="116">
        <f ca="1">SUMIF('res bld data'!$U$3:$U$282,"="&amp;$B34&amp;$C34&amp;$D34,'res bld data'!O$3:O$282)/SUMIF('res bld data'!$U$3:$U$282,"="&amp;$B34&amp;$C34&amp;$D34,'res bld data'!$S$3:$S$282)</f>
        <v>0</v>
      </c>
      <c r="Z34" s="116">
        <f ca="1">IFERROR(SUMIF('res bld data'!$U$3:$U$107,"="&amp;$B34&amp;$C34&amp;$D34,'res bld data'!M$3:M$107)/SUMIF('res bld data'!$U$109:$U$123,"="&amp;$B34&amp;$C34,'res bld data'!M$109:M$123),0)</f>
        <v>4.1808565862614847E-2</v>
      </c>
      <c r="AA34" s="116">
        <f ca="1">IFERROR(SUMIF('res bld data'!$U$3:$U$107,"="&amp;$B34&amp;$C34&amp;$D34,'res bld data'!O$3:O$107)/SUMIF('res bld data'!$U$109:$U$123,"="&amp;$B34&amp;$C34,'res bld data'!O$109:O$123),0)</f>
        <v>0</v>
      </c>
    </row>
    <row r="35" spans="2:27">
      <c r="B35" s="20" t="s">
        <v>9</v>
      </c>
      <c r="C35" s="20" t="s">
        <v>366</v>
      </c>
      <c r="D35" s="20" t="s">
        <v>376</v>
      </c>
      <c r="E35" s="75">
        <f t="shared" ca="1" si="0"/>
        <v>4.01207539637225</v>
      </c>
      <c r="F35" s="75">
        <f t="shared" ca="1" si="1"/>
        <v>0</v>
      </c>
      <c r="G35" s="21">
        <f t="shared" ca="1" si="40"/>
        <v>793</v>
      </c>
      <c r="H35" s="21">
        <f t="shared" ref="H35:I35" ca="1" si="44">$S35*T35</f>
        <v>31120.573392546776</v>
      </c>
      <c r="I35" s="21">
        <f t="shared" ca="1" si="44"/>
        <v>31102.701178843257</v>
      </c>
      <c r="J35" s="21"/>
      <c r="R35" s="115"/>
      <c r="S35" s="22">
        <f ca="1">G35/SUMIF('res bld data'!$B$3:$B$14,"="&amp;B35,'res bld data'!$G$3:$G$14)</f>
        <v>1.7050096753386368E-2</v>
      </c>
      <c r="T35" s="21">
        <f>SUMIFS('Projections by County'!$D$10:$D$36,'Projections by County'!$A$10:$A$36,B35,'Projections by County'!$C$10:$C$36,"Electricity (kWh)",'Projections by County'!$B$10:$B$36,"Residential")*BTU_per_kWh/1000000</f>
        <v>1825243.2137293199</v>
      </c>
      <c r="U35" s="21">
        <f>SUMIFS('Projections by County'!$D$10:$D$36,'Projections by County'!$A$10:$A$36,B35,'Projections by County'!$C$10:$C$36,"Natural Gas",'Projections by County'!$B$10:$B$36,"Residential")</f>
        <v>1824194.996</v>
      </c>
      <c r="V35" s="116"/>
      <c r="W35" s="116">
        <f ca="1">SUMIF('res bld data'!$U$3:$U$282,"="&amp;$B35&amp;$C35&amp;$D35,'res bld data'!M$3:M$282)/SUMIF('res bld data'!$U$3:$U$282,"="&amp;$B35&amp;$C35&amp;$D35,'res bld data'!$S$3:$S$282)</f>
        <v>1</v>
      </c>
      <c r="X35" s="116">
        <f ca="1">SUMIF('res bld data'!$U$3:$U$282,"="&amp;$B35&amp;$C35&amp;$D35,'res bld data'!O$3:O$282)/SUMIF('res bld data'!$U$3:$U$282,"="&amp;$B35&amp;$C35&amp;$D35,'res bld data'!$S$3:$S$282)</f>
        <v>0</v>
      </c>
      <c r="Z35" s="116">
        <f ca="1">IFERROR(SUMIF('res bld data'!$U$3:$U$107,"="&amp;$B35&amp;$C35&amp;$D35,'res bld data'!M$3:M$107)/SUMIF('res bld data'!$U$109:$U$123,"="&amp;$B35&amp;$C35,'res bld data'!M$109:M$123),0)</f>
        <v>0.10223384219794503</v>
      </c>
      <c r="AA35" s="116">
        <f ca="1">IFERROR(SUMIF('res bld data'!$U$3:$U$107,"="&amp;$B35&amp;$C35&amp;$D35,'res bld data'!O$3:O$107)/SUMIF('res bld data'!$U$109:$U$123,"="&amp;$B35&amp;$C35,'res bld data'!O$109:O$123),0)</f>
        <v>0</v>
      </c>
    </row>
    <row r="36" spans="2:27">
      <c r="B36" s="20" t="s">
        <v>9</v>
      </c>
      <c r="C36" s="20" t="s">
        <v>366</v>
      </c>
      <c r="D36" s="20" t="s">
        <v>377</v>
      </c>
      <c r="E36" s="75">
        <f t="shared" ca="1" si="0"/>
        <v>22.642593601938355</v>
      </c>
      <c r="F36" s="75">
        <f t="shared" ca="1" si="1"/>
        <v>34.667139917077741</v>
      </c>
      <c r="G36" s="21">
        <f t="shared" ca="1" si="40"/>
        <v>793</v>
      </c>
      <c r="H36" s="21">
        <f t="shared" ref="H36:I36" ca="1" si="45">$S36*T36</f>
        <v>31120.573392546776</v>
      </c>
      <c r="I36" s="21">
        <f t="shared" ca="1" si="45"/>
        <v>31102.701178843257</v>
      </c>
      <c r="J36" s="21"/>
      <c r="R36" s="115"/>
      <c r="S36" s="22">
        <f ca="1">G36/SUMIF('res bld data'!$B$3:$B$14,"="&amp;B36,'res bld data'!$G$3:$G$14)</f>
        <v>1.7050096753386368E-2</v>
      </c>
      <c r="T36" s="21">
        <f>SUMIFS('Projections by County'!$D$10:$D$36,'Projections by County'!$A$10:$A$36,B36,'Projections by County'!$C$10:$C$36,"Electricity (kWh)",'Projections by County'!$B$10:$B$36,"Residential")*BTU_per_kWh/1000000</f>
        <v>1825243.2137293199</v>
      </c>
      <c r="U36" s="21">
        <f>SUMIFS('Projections by County'!$D$10:$D$36,'Projections by County'!$A$10:$A$36,B36,'Projections by County'!$C$10:$C$36,"Natural Gas",'Projections by County'!$B$10:$B$36,"Residential")</f>
        <v>1824194.996</v>
      </c>
      <c r="V36" s="116"/>
      <c r="W36" s="116">
        <f ca="1">SUMIF('res bld data'!$U$3:$U$282,"="&amp;$B36&amp;$C36&amp;$D36,'res bld data'!M$3:M$282)/SUMIF('res bld data'!$U$3:$U$282,"="&amp;$B36&amp;$C36&amp;$D36,'res bld data'!$S$3:$S$282)</f>
        <v>0.23317244457283851</v>
      </c>
      <c r="X36" s="116">
        <f ca="1">SUMIF('res bld data'!$U$3:$U$282,"="&amp;$B36&amp;$C36&amp;$D36,'res bld data'!O$3:O$282)/SUMIF('res bld data'!$U$3:$U$282,"="&amp;$B36&amp;$C36&amp;$D36,'res bld data'!$S$3:$S$282)</f>
        <v>0.76682755542716152</v>
      </c>
      <c r="Z36" s="116">
        <f ca="1">IFERROR(SUMIF('res bld data'!$U$3:$U$107,"="&amp;$B36&amp;$C36&amp;$D36,'res bld data'!M$3:M$107)/SUMIF('res bld data'!$U$109:$U$123,"="&amp;$B36&amp;$C36,'res bld data'!M$109:M$123),0)</f>
        <v>0.57696805582114974</v>
      </c>
      <c r="AA36" s="116">
        <f ca="1">IFERROR(SUMIF('res bld data'!$U$3:$U$107,"="&amp;$B36&amp;$C36&amp;$D36,'res bld data'!O$3:O$107)/SUMIF('res bld data'!$U$109:$U$123,"="&amp;$B36&amp;$C36,'res bld data'!O$109:O$123),0)</f>
        <v>0.88387956390561528</v>
      </c>
    </row>
    <row r="37" spans="2:27">
      <c r="B37" s="20" t="s">
        <v>9</v>
      </c>
      <c r="C37" s="20" t="s">
        <v>366</v>
      </c>
      <c r="D37" s="20" t="s">
        <v>378</v>
      </c>
      <c r="E37" s="75">
        <f t="shared" ca="1" si="0"/>
        <v>1.13442278711678</v>
      </c>
      <c r="F37" s="75">
        <f t="shared" ca="1" si="1"/>
        <v>4.064082717745924</v>
      </c>
      <c r="G37" s="21">
        <f t="shared" ca="1" si="40"/>
        <v>793</v>
      </c>
      <c r="H37" s="21">
        <f t="shared" ref="H37:I37" ca="1" si="46">$S37*T37</f>
        <v>31120.573392546776</v>
      </c>
      <c r="I37" s="21">
        <f t="shared" ca="1" si="46"/>
        <v>31102.701178843257</v>
      </c>
      <c r="J37" s="21"/>
      <c r="R37" s="115"/>
      <c r="S37" s="22">
        <f ca="1">G37/SUMIF('res bld data'!$B$3:$B$14,"="&amp;B37,'res bld data'!$G$3:$G$14)</f>
        <v>1.7050096753386368E-2</v>
      </c>
      <c r="T37" s="21">
        <f>SUMIFS('Projections by County'!$D$10:$D$36,'Projections by County'!$A$10:$A$36,B37,'Projections by County'!$C$10:$C$36,"Electricity (kWh)",'Projections by County'!$B$10:$B$36,"Residential")*BTU_per_kWh/1000000</f>
        <v>1825243.2137293199</v>
      </c>
      <c r="U37" s="21">
        <f>SUMIFS('Projections by County'!$D$10:$D$36,'Projections by County'!$A$10:$A$36,B37,'Projections by County'!$C$10:$C$36,"Natural Gas",'Projections by County'!$B$10:$B$36,"Residential")</f>
        <v>1824194.996</v>
      </c>
      <c r="V37" s="116"/>
      <c r="W37" s="116">
        <f ca="1">SUMIF('res bld data'!$U$3:$U$282,"="&amp;$B37&amp;$C37&amp;$D37,'res bld data'!M$3:M$282)/SUMIF('res bld data'!$U$3:$U$282,"="&amp;$B37&amp;$C37&amp;$D37,'res bld data'!$S$3:$S$282)</f>
        <v>0.11500684073797893</v>
      </c>
      <c r="X37" s="116">
        <f ca="1">SUMIF('res bld data'!$U$3:$U$282,"="&amp;$B37&amp;$C37&amp;$D37,'res bld data'!O$3:O$282)/SUMIF('res bld data'!$U$3:$U$282,"="&amp;$B37&amp;$C37&amp;$D37,'res bld data'!$S$3:$S$282)</f>
        <v>0.88499315926202116</v>
      </c>
      <c r="Z37" s="116">
        <f ca="1">IFERROR(SUMIF('res bld data'!$U$3:$U$107,"="&amp;$B37&amp;$C37&amp;$D37,'res bld data'!M$3:M$107)/SUMIF('res bld data'!$U$109:$U$123,"="&amp;$B37&amp;$C37,'res bld data'!M$109:M$123),0)</f>
        <v>2.890683467930754E-2</v>
      </c>
      <c r="AA37" s="116">
        <f ca="1">IFERROR(SUMIF('res bld data'!$U$3:$U$107,"="&amp;$B37&amp;$C37&amp;$D37,'res bld data'!O$3:O$107)/SUMIF('res bld data'!$U$109:$U$123,"="&amp;$B37&amp;$C37,'res bld data'!O$109:O$123),0)</f>
        <v>0.10361857565492572</v>
      </c>
    </row>
    <row r="38" spans="2:27">
      <c r="B38" s="20" t="s">
        <v>9</v>
      </c>
      <c r="C38" s="20" t="s">
        <v>371</v>
      </c>
      <c r="D38" s="20" t="s">
        <v>369</v>
      </c>
      <c r="E38" s="75">
        <f t="shared" ca="1" si="0"/>
        <v>2.2055779446775898</v>
      </c>
      <c r="F38" s="75">
        <f t="shared" ca="1" si="1"/>
        <v>0</v>
      </c>
      <c r="G38" s="21">
        <f ca="1">VLOOKUP(B38&amp;C38,'res bld data'!$A$3:$H$37,7,FALSE)</f>
        <v>7051</v>
      </c>
      <c r="H38" s="21">
        <f t="shared" ref="H38:I38" ca="1" si="47">$S38*T38</f>
        <v>276710.16770598653</v>
      </c>
      <c r="I38" s="21">
        <f t="shared" ca="1" si="47"/>
        <v>276551.25600507419</v>
      </c>
      <c r="J38" s="21"/>
      <c r="R38" s="115"/>
      <c r="S38" s="22">
        <f ca="1">G38/SUMIF('res bld data'!$B$3:$B$14,"="&amp;B38,'res bld data'!$G$3:$G$14)</f>
        <v>0.15160180606321222</v>
      </c>
      <c r="T38" s="21">
        <f>SUMIFS('Projections by County'!$D$10:$D$36,'Projections by County'!$A$10:$A$36,B38,'Projections by County'!$C$10:$C$36,"Electricity (kWh)",'Projections by County'!$B$10:$B$36,"Residential")*BTU_per_kWh/1000000</f>
        <v>1825243.2137293199</v>
      </c>
      <c r="U38" s="21">
        <f>SUMIFS('Projections by County'!$D$10:$D$36,'Projections by County'!$A$10:$A$36,B38,'Projections by County'!$C$10:$C$36,"Natural Gas",'Projections by County'!$B$10:$B$36,"Residential")</f>
        <v>1824194.996</v>
      </c>
      <c r="V38" s="116"/>
      <c r="W38" s="116">
        <f ca="1">SUMIF('res bld data'!$U$3:$U$282,"="&amp;$B38&amp;$C38&amp;$D38,'res bld data'!M$3:M$282)/SUMIF('res bld data'!$U$3:$U$282,"="&amp;$B38&amp;$C38&amp;$D38,'res bld data'!$S$3:$S$282)</f>
        <v>1</v>
      </c>
      <c r="X38" s="116">
        <f ca="1">SUMIF('res bld data'!$U$3:$U$282,"="&amp;$B38&amp;$C38&amp;$D38,'res bld data'!O$3:O$282)/SUMIF('res bld data'!$U$3:$U$282,"="&amp;$B38&amp;$C38&amp;$D38,'res bld data'!$S$3:$S$282)</f>
        <v>0</v>
      </c>
      <c r="Z38" s="116">
        <f ca="1">IFERROR(SUMIF('res bld data'!$U$3:$U$107,"="&amp;$B38&amp;$C38&amp;$D38,'res bld data'!M$3:M$107)/SUMIF('res bld data'!$U$109:$U$123,"="&amp;$B38&amp;$C38,'res bld data'!M$109:M$123),0)</f>
        <v>5.6201513001306436E-2</v>
      </c>
      <c r="AA38" s="116">
        <f ca="1">IFERROR(SUMIF('res bld data'!$U$3:$U$107,"="&amp;$B38&amp;$C38&amp;$D38,'res bld data'!O$3:O$107)/SUMIF('res bld data'!$U$109:$U$123,"="&amp;$B38&amp;$C38,'res bld data'!O$109:O$123),0)</f>
        <v>0</v>
      </c>
    </row>
    <row r="39" spans="2:27">
      <c r="B39" s="20" t="s">
        <v>9</v>
      </c>
      <c r="C39" s="20" t="s">
        <v>371</v>
      </c>
      <c r="D39" s="20" t="s">
        <v>372</v>
      </c>
      <c r="E39" s="75">
        <f t="shared" ca="1" si="0"/>
        <v>3.7612928264543175</v>
      </c>
      <c r="F39" s="75">
        <f t="shared" ca="1" si="1"/>
        <v>0.77237742552579092</v>
      </c>
      <c r="G39" s="21">
        <f t="shared" ref="G39:G44" ca="1" si="48">G38</f>
        <v>7051</v>
      </c>
      <c r="H39" s="21">
        <f t="shared" ref="H39:I39" ca="1" si="49">$S39*T39</f>
        <v>276710.16770598653</v>
      </c>
      <c r="I39" s="21">
        <f t="shared" ca="1" si="49"/>
        <v>276551.25600507419</v>
      </c>
      <c r="J39" s="21"/>
      <c r="R39" s="115"/>
      <c r="S39" s="22">
        <f ca="1">G39/SUMIF('res bld data'!$B$3:$B$14,"="&amp;B39,'res bld data'!$G$3:$G$14)</f>
        <v>0.15160180606321222</v>
      </c>
      <c r="T39" s="21">
        <f>SUMIFS('Projections by County'!$D$10:$D$36,'Projections by County'!$A$10:$A$36,B39,'Projections by County'!$C$10:$C$36,"Electricity (kWh)",'Projections by County'!$B$10:$B$36,"Residential")*BTU_per_kWh/1000000</f>
        <v>1825243.2137293199</v>
      </c>
      <c r="U39" s="21">
        <f>SUMIFS('Projections by County'!$D$10:$D$36,'Projections by County'!$A$10:$A$36,B39,'Projections by County'!$C$10:$C$36,"Natural Gas",'Projections by County'!$B$10:$B$36,"Residential")</f>
        <v>1824194.996</v>
      </c>
      <c r="V39" s="116"/>
      <c r="W39" s="116">
        <f ca="1">SUMIF('res bld data'!$U$3:$U$282,"="&amp;$B39&amp;$C39&amp;$D39,'res bld data'!M$3:M$282)/SUMIF('res bld data'!$U$3:$U$282,"="&amp;$B39&amp;$C39&amp;$D39,'res bld data'!$S$3:$S$282)</f>
        <v>0.90186893593207385</v>
      </c>
      <c r="X39" s="116">
        <f ca="1">SUMIF('res bld data'!$U$3:$U$282,"="&amp;$B39&amp;$C39&amp;$D39,'res bld data'!O$3:O$282)/SUMIF('res bld data'!$U$3:$U$282,"="&amp;$B39&amp;$C39&amp;$D39,'res bld data'!$S$3:$S$282)</f>
        <v>9.8131064067926141E-2</v>
      </c>
      <c r="Z39" s="116">
        <f ca="1">IFERROR(SUMIF('res bld data'!$U$3:$U$107,"="&amp;$B39&amp;$C39&amp;$D39,'res bld data'!M$3:M$107)/SUMIF('res bld data'!$U$109:$U$123,"="&amp;$B39&amp;$C39,'res bld data'!M$109:M$123),0)</f>
        <v>9.5843517205008083E-2</v>
      </c>
      <c r="AA39" s="116">
        <f ca="1">IFERROR(SUMIF('res bld data'!$U$3:$U$107,"="&amp;$B39&amp;$C39&amp;$D39,'res bld data'!O$3:O$107)/SUMIF('res bld data'!$U$109:$U$123,"="&amp;$B39&amp;$C39,'res bld data'!O$109:O$123),0)</f>
        <v>1.969267218689626E-2</v>
      </c>
    </row>
    <row r="40" spans="2:27">
      <c r="B40" s="20" t="s">
        <v>9</v>
      </c>
      <c r="C40" s="20" t="s">
        <v>371</v>
      </c>
      <c r="D40" s="20" t="s">
        <v>374</v>
      </c>
      <c r="E40" s="75">
        <f t="shared" ca="1" si="0"/>
        <v>5.1808536346989182</v>
      </c>
      <c r="F40" s="75">
        <f t="shared" ca="1" si="1"/>
        <v>0</v>
      </c>
      <c r="G40" s="21">
        <f t="shared" ca="1" si="48"/>
        <v>7051</v>
      </c>
      <c r="H40" s="21">
        <f t="shared" ref="H40:I40" ca="1" si="50">$S40*T40</f>
        <v>276710.16770598653</v>
      </c>
      <c r="I40" s="21">
        <f t="shared" ca="1" si="50"/>
        <v>276551.25600507419</v>
      </c>
      <c r="J40" s="21"/>
      <c r="R40" s="115"/>
      <c r="S40" s="22">
        <f ca="1">G40/SUMIF('res bld data'!$B$3:$B$14,"="&amp;B40,'res bld data'!$G$3:$G$14)</f>
        <v>0.15160180606321222</v>
      </c>
      <c r="T40" s="21">
        <f>SUMIFS('Projections by County'!$D$10:$D$36,'Projections by County'!$A$10:$A$36,B40,'Projections by County'!$C$10:$C$36,"Electricity (kWh)",'Projections by County'!$B$10:$B$36,"Residential")*BTU_per_kWh/1000000</f>
        <v>1825243.2137293199</v>
      </c>
      <c r="U40" s="21">
        <f>SUMIFS('Projections by County'!$D$10:$D$36,'Projections by County'!$A$10:$A$36,B40,'Projections by County'!$C$10:$C$36,"Natural Gas",'Projections by County'!$B$10:$B$36,"Residential")</f>
        <v>1824194.996</v>
      </c>
      <c r="V40" s="116"/>
      <c r="W40" s="116">
        <f ca="1">SUMIF('res bld data'!$U$3:$U$282,"="&amp;$B40&amp;$C40&amp;$D40,'res bld data'!M$3:M$282)/SUMIF('res bld data'!$U$3:$U$282,"="&amp;$B40&amp;$C40&amp;$D40,'res bld data'!$S$3:$S$282)</f>
        <v>1</v>
      </c>
      <c r="X40" s="116">
        <f ca="1">SUMIF('res bld data'!$U$3:$U$282,"="&amp;$B40&amp;$C40&amp;$D40,'res bld data'!O$3:O$282)/SUMIF('res bld data'!$U$3:$U$282,"="&amp;$B40&amp;$C40&amp;$D40,'res bld data'!$S$3:$S$282)</f>
        <v>0</v>
      </c>
      <c r="Z40" s="116">
        <f ca="1">IFERROR(SUMIF('res bld data'!$U$3:$U$107,"="&amp;$B40&amp;$C40&amp;$D40,'res bld data'!M$3:M$107)/SUMIF('res bld data'!$U$109:$U$123,"="&amp;$B40&amp;$C40,'res bld data'!M$109:M$123),0)</f>
        <v>0.13201610653164211</v>
      </c>
      <c r="AA40" s="116">
        <f ca="1">IFERROR(SUMIF('res bld data'!$U$3:$U$107,"="&amp;$B40&amp;$C40&amp;$D40,'res bld data'!O$3:O$107)/SUMIF('res bld data'!$U$109:$U$123,"="&amp;$B40&amp;$C40,'res bld data'!O$109:O$123),0)</f>
        <v>0</v>
      </c>
    </row>
    <row r="41" spans="2:27">
      <c r="B41" s="20" t="s">
        <v>9</v>
      </c>
      <c r="C41" s="20" t="s">
        <v>371</v>
      </c>
      <c r="D41" s="20" t="s">
        <v>375</v>
      </c>
      <c r="E41" s="75">
        <f t="shared" ca="1" si="0"/>
        <v>1.380567509160465</v>
      </c>
      <c r="F41" s="75">
        <f t="shared" ca="1" si="1"/>
        <v>0</v>
      </c>
      <c r="G41" s="21">
        <f t="shared" ca="1" si="48"/>
        <v>7051</v>
      </c>
      <c r="H41" s="21">
        <f t="shared" ref="H41:I41" ca="1" si="51">$S41*T41</f>
        <v>276710.16770598653</v>
      </c>
      <c r="I41" s="21">
        <f t="shared" ca="1" si="51"/>
        <v>276551.25600507419</v>
      </c>
      <c r="J41" s="21"/>
      <c r="R41" s="115"/>
      <c r="S41" s="22">
        <f ca="1">G41/SUMIF('res bld data'!$B$3:$B$14,"="&amp;B41,'res bld data'!$G$3:$G$14)</f>
        <v>0.15160180606321222</v>
      </c>
      <c r="T41" s="21">
        <f>SUMIFS('Projections by County'!$D$10:$D$36,'Projections by County'!$A$10:$A$36,B41,'Projections by County'!$C$10:$C$36,"Electricity (kWh)",'Projections by County'!$B$10:$B$36,"Residential")*BTU_per_kWh/1000000</f>
        <v>1825243.2137293199</v>
      </c>
      <c r="U41" s="21">
        <f>SUMIFS('Projections by County'!$D$10:$D$36,'Projections by County'!$A$10:$A$36,B41,'Projections by County'!$C$10:$C$36,"Natural Gas",'Projections by County'!$B$10:$B$36,"Residential")</f>
        <v>1824194.996</v>
      </c>
      <c r="V41" s="116"/>
      <c r="W41" s="116">
        <f ca="1">SUMIF('res bld data'!$U$3:$U$282,"="&amp;$B41&amp;$C41&amp;$D41,'res bld data'!M$3:M$282)/SUMIF('res bld data'!$U$3:$U$282,"="&amp;$B41&amp;$C41&amp;$D41,'res bld data'!$S$3:$S$282)</f>
        <v>1</v>
      </c>
      <c r="X41" s="116">
        <f ca="1">SUMIF('res bld data'!$U$3:$U$282,"="&amp;$B41&amp;$C41&amp;$D41,'res bld data'!O$3:O$282)/SUMIF('res bld data'!$U$3:$U$282,"="&amp;$B41&amp;$C41&amp;$D41,'res bld data'!$S$3:$S$282)</f>
        <v>0</v>
      </c>
      <c r="Z41" s="116">
        <f ca="1">IFERROR(SUMIF('res bld data'!$U$3:$U$107,"="&amp;$B41&amp;$C41&amp;$D41,'res bld data'!M$3:M$107)/SUMIF('res bld data'!$U$109:$U$123,"="&amp;$B41&amp;$C41,'res bld data'!M$109:M$123),0)</f>
        <v>3.517898018634983E-2</v>
      </c>
      <c r="AA41" s="116">
        <f ca="1">IFERROR(SUMIF('res bld data'!$U$3:$U$107,"="&amp;$B41&amp;$C41&amp;$D41,'res bld data'!O$3:O$107)/SUMIF('res bld data'!$U$109:$U$123,"="&amp;$B41&amp;$C41,'res bld data'!O$109:O$123),0)</f>
        <v>0</v>
      </c>
    </row>
    <row r="42" spans="2:27">
      <c r="B42" s="20" t="s">
        <v>9</v>
      </c>
      <c r="C42" s="20" t="s">
        <v>371</v>
      </c>
      <c r="D42" s="20" t="s">
        <v>376</v>
      </c>
      <c r="E42" s="75">
        <f t="shared" ca="1" si="0"/>
        <v>3.5714676893688013</v>
      </c>
      <c r="F42" s="75">
        <f t="shared" ca="1" si="1"/>
        <v>0</v>
      </c>
      <c r="G42" s="21">
        <f t="shared" ca="1" si="48"/>
        <v>7051</v>
      </c>
      <c r="H42" s="21">
        <f t="shared" ref="H42:I42" ca="1" si="52">$S42*T42</f>
        <v>276710.16770598653</v>
      </c>
      <c r="I42" s="21">
        <f t="shared" ca="1" si="52"/>
        <v>276551.25600507419</v>
      </c>
      <c r="J42" s="21"/>
      <c r="R42" s="115"/>
      <c r="S42" s="22">
        <f ca="1">G42/SUMIF('res bld data'!$B$3:$B$14,"="&amp;B42,'res bld data'!$G$3:$G$14)</f>
        <v>0.15160180606321222</v>
      </c>
      <c r="T42" s="21">
        <f>SUMIFS('Projections by County'!$D$10:$D$36,'Projections by County'!$A$10:$A$36,B42,'Projections by County'!$C$10:$C$36,"Electricity (kWh)",'Projections by County'!$B$10:$B$36,"Residential")*BTU_per_kWh/1000000</f>
        <v>1825243.2137293199</v>
      </c>
      <c r="U42" s="21">
        <f>SUMIFS('Projections by County'!$D$10:$D$36,'Projections by County'!$A$10:$A$36,B42,'Projections by County'!$C$10:$C$36,"Natural Gas",'Projections by County'!$B$10:$B$36,"Residential")</f>
        <v>1824194.996</v>
      </c>
      <c r="V42" s="116"/>
      <c r="W42" s="116">
        <f ca="1">SUMIF('res bld data'!$U$3:$U$282,"="&amp;$B42&amp;$C42&amp;$D42,'res bld data'!M$3:M$282)/SUMIF('res bld data'!$U$3:$U$282,"="&amp;$B42&amp;$C42&amp;$D42,'res bld data'!$S$3:$S$282)</f>
        <v>1</v>
      </c>
      <c r="X42" s="116">
        <f ca="1">SUMIF('res bld data'!$U$3:$U$282,"="&amp;$B42&amp;$C42&amp;$D42,'res bld data'!O$3:O$282)/SUMIF('res bld data'!$U$3:$U$282,"="&amp;$B42&amp;$C42&amp;$D42,'res bld data'!$S$3:$S$282)</f>
        <v>0</v>
      </c>
      <c r="Z42" s="116">
        <f ca="1">IFERROR(SUMIF('res bld data'!$U$3:$U$107,"="&amp;$B42&amp;$C42&amp;$D42,'res bld data'!M$3:M$107)/SUMIF('res bld data'!$U$109:$U$123,"="&amp;$B42&amp;$C42,'res bld data'!M$109:M$123),0)</f>
        <v>9.1006481209236045E-2</v>
      </c>
      <c r="AA42" s="116">
        <f ca="1">IFERROR(SUMIF('res bld data'!$U$3:$U$107,"="&amp;$B42&amp;$C42&amp;$D42,'res bld data'!O$3:O$107)/SUMIF('res bld data'!$U$109:$U$123,"="&amp;$B42&amp;$C42,'res bld data'!O$109:O$123),0)</f>
        <v>0</v>
      </c>
    </row>
    <row r="43" spans="2:27">
      <c r="B43" s="20" t="s">
        <v>9</v>
      </c>
      <c r="C43" s="20" t="s">
        <v>371</v>
      </c>
      <c r="D43" s="20" t="s">
        <v>377</v>
      </c>
      <c r="E43" s="75">
        <f t="shared" ca="1" si="0"/>
        <v>19.255501213432055</v>
      </c>
      <c r="F43" s="75">
        <f t="shared" ca="1" si="1"/>
        <v>28.444528434781528</v>
      </c>
      <c r="G43" s="21">
        <f t="shared" ca="1" si="48"/>
        <v>7051</v>
      </c>
      <c r="H43" s="21">
        <f t="shared" ref="H43:I43" ca="1" si="53">$S43*T43</f>
        <v>276710.16770598653</v>
      </c>
      <c r="I43" s="21">
        <f t="shared" ca="1" si="53"/>
        <v>276551.25600507419</v>
      </c>
      <c r="J43" s="21"/>
      <c r="R43" s="115"/>
      <c r="S43" s="22">
        <f ca="1">G43/SUMIF('res bld data'!$B$3:$B$14,"="&amp;B43,'res bld data'!$G$3:$G$14)</f>
        <v>0.15160180606321222</v>
      </c>
      <c r="T43" s="21">
        <f>SUMIFS('Projections by County'!$D$10:$D$36,'Projections by County'!$A$10:$A$36,B43,'Projections by County'!$C$10:$C$36,"Electricity (kWh)",'Projections by County'!$B$10:$B$36,"Residential")*BTU_per_kWh/1000000</f>
        <v>1825243.2137293199</v>
      </c>
      <c r="U43" s="21">
        <f>SUMIFS('Projections by County'!$D$10:$D$36,'Projections by County'!$A$10:$A$36,B43,'Projections by County'!$C$10:$C$36,"Natural Gas",'Projections by County'!$B$10:$B$36,"Residential")</f>
        <v>1824194.996</v>
      </c>
      <c r="V43" s="116"/>
      <c r="W43" s="116">
        <f ca="1">SUMIF('res bld data'!$U$3:$U$282,"="&amp;$B43&amp;$C43&amp;$D43,'res bld data'!M$3:M$282)/SUMIF('res bld data'!$U$3:$U$282,"="&amp;$B43&amp;$C43&amp;$D43,'res bld data'!$S$3:$S$282)</f>
        <v>0.56093597297642728</v>
      </c>
      <c r="X43" s="116">
        <f ca="1">SUMIF('res bld data'!$U$3:$U$282,"="&amp;$B43&amp;$C43&amp;$D43,'res bld data'!O$3:O$282)/SUMIF('res bld data'!$U$3:$U$282,"="&amp;$B43&amp;$C43&amp;$D43,'res bld data'!$S$3:$S$282)</f>
        <v>0.43906402702357283</v>
      </c>
      <c r="Z43" s="116">
        <f ca="1">IFERROR(SUMIF('res bld data'!$U$3:$U$107,"="&amp;$B43&amp;$C43&amp;$D43,'res bld data'!M$3:M$107)/SUMIF('res bld data'!$U$109:$U$123,"="&amp;$B43&amp;$C43,'res bld data'!M$109:M$123),0)</f>
        <v>0.49065974041174365</v>
      </c>
      <c r="AA43" s="116">
        <f ca="1">IFERROR(SUMIF('res bld data'!$U$3:$U$107,"="&amp;$B43&amp;$C43&amp;$D43,'res bld data'!O$3:O$107)/SUMIF('res bld data'!$U$109:$U$123,"="&amp;$B43&amp;$C43,'res bld data'!O$109:O$123),0)</f>
        <v>0.72522675503583545</v>
      </c>
    </row>
    <row r="44" spans="2:27">
      <c r="B44" s="20" t="s">
        <v>9</v>
      </c>
      <c r="C44" s="20" t="s">
        <v>371</v>
      </c>
      <c r="D44" s="20" t="s">
        <v>378</v>
      </c>
      <c r="E44" s="75">
        <f t="shared" ca="1" si="0"/>
        <v>3.8888418209805846</v>
      </c>
      <c r="F44" s="75">
        <f t="shared" ca="1" si="1"/>
        <v>10.004659308473592</v>
      </c>
      <c r="G44" s="21">
        <f t="shared" ca="1" si="48"/>
        <v>7051</v>
      </c>
      <c r="H44" s="21">
        <f t="shared" ref="H44:I44" ca="1" si="54">$S44*T44</f>
        <v>276710.16770598653</v>
      </c>
      <c r="I44" s="21">
        <f t="shared" ca="1" si="54"/>
        <v>276551.25600507419</v>
      </c>
      <c r="J44" s="21"/>
      <c r="R44" s="115"/>
      <c r="S44" s="22">
        <f ca="1">G44/SUMIF('res bld data'!$B$3:$B$14,"="&amp;B44,'res bld data'!$G$3:$G$14)</f>
        <v>0.15160180606321222</v>
      </c>
      <c r="T44" s="21">
        <f>SUMIFS('Projections by County'!$D$10:$D$36,'Projections by County'!$A$10:$A$36,B44,'Projections by County'!$C$10:$C$36,"Electricity (kWh)",'Projections by County'!$B$10:$B$36,"Residential")*BTU_per_kWh/1000000</f>
        <v>1825243.2137293199</v>
      </c>
      <c r="U44" s="21">
        <f>SUMIFS('Projections by County'!$D$10:$D$36,'Projections by County'!$A$10:$A$36,B44,'Projections by County'!$C$10:$C$36,"Natural Gas",'Projections by County'!$B$10:$B$36,"Residential")</f>
        <v>1824194.996</v>
      </c>
      <c r="V44" s="116"/>
      <c r="W44" s="116">
        <f ca="1">SUMIF('res bld data'!$U$3:$U$282,"="&amp;$B44&amp;$C44&amp;$D44,'res bld data'!M$3:M$282)/SUMIF('res bld data'!$U$3:$U$282,"="&amp;$B44&amp;$C44&amp;$D44,'res bld data'!$S$3:$S$282)</f>
        <v>0.42315892129629012</v>
      </c>
      <c r="X44" s="116">
        <f ca="1">SUMIF('res bld data'!$U$3:$U$282,"="&amp;$B44&amp;$C44&amp;$D44,'res bld data'!O$3:O$282)/SUMIF('res bld data'!$U$3:$U$282,"="&amp;$B44&amp;$C44&amp;$D44,'res bld data'!$S$3:$S$282)</f>
        <v>0.57684107870370971</v>
      </c>
      <c r="Z44" s="116">
        <f ca="1">IFERROR(SUMIF('res bld data'!$U$3:$U$107,"="&amp;$B44&amp;$C44&amp;$D44,'res bld data'!M$3:M$107)/SUMIF('res bld data'!$U$109:$U$123,"="&amp;$B44&amp;$C44,'res bld data'!M$109:M$123),0)</f>
        <v>9.909366145471378E-2</v>
      </c>
      <c r="AA44" s="116">
        <f ca="1">IFERROR(SUMIF('res bld data'!$U$3:$U$107,"="&amp;$B44&amp;$C44&amp;$D44,'res bld data'!O$3:O$107)/SUMIF('res bld data'!$U$109:$U$123,"="&amp;$B44&amp;$C44,'res bld data'!O$109:O$123),0)</f>
        <v>0.25508057277726837</v>
      </c>
    </row>
    <row r="45" spans="2:27">
      <c r="B45" s="20" t="s">
        <v>9</v>
      </c>
      <c r="C45" s="20" t="s">
        <v>373</v>
      </c>
      <c r="D45" s="20" t="s">
        <v>369</v>
      </c>
      <c r="E45" s="75">
        <f t="shared" ca="1" si="0"/>
        <v>5.5422466823008323</v>
      </c>
      <c r="F45" s="75">
        <f t="shared" ca="1" si="1"/>
        <v>0</v>
      </c>
      <c r="G45" s="21">
        <f ca="1">VLOOKUP(B45&amp;C45,'res bld data'!$A$3:$H$37,7,FALSE)</f>
        <v>1763</v>
      </c>
      <c r="H45" s="21">
        <f t="shared" ref="H45:I45" ca="1" si="55">$S45*T45</f>
        <v>69187.352952156332</v>
      </c>
      <c r="I45" s="21">
        <f t="shared" ca="1" si="55"/>
        <v>69147.619392560737</v>
      </c>
      <c r="J45" s="21"/>
      <c r="R45" s="115"/>
      <c r="S45" s="22">
        <f ca="1">G45/SUMIF('res bld data'!$B$3:$B$14,"="&amp;B45,'res bld data'!$G$3:$G$14)</f>
        <v>3.7905826703934636E-2</v>
      </c>
      <c r="T45" s="21">
        <f>SUMIFS('Projections by County'!$D$10:$D$36,'Projections by County'!$A$10:$A$36,B45,'Projections by County'!$C$10:$C$36,"Electricity (kWh)",'Projections by County'!$B$10:$B$36,"Residential")*BTU_per_kWh/1000000</f>
        <v>1825243.2137293199</v>
      </c>
      <c r="U45" s="21">
        <f>SUMIFS('Projections by County'!$D$10:$D$36,'Projections by County'!$A$10:$A$36,B45,'Projections by County'!$C$10:$C$36,"Natural Gas",'Projections by County'!$B$10:$B$36,"Residential")</f>
        <v>1824194.996</v>
      </c>
      <c r="V45" s="116"/>
      <c r="W45" s="116">
        <f ca="1">SUMIF('res bld data'!$U$3:$U$282,"="&amp;$B45&amp;$C45&amp;$D45,'res bld data'!M$3:M$282)/SUMIF('res bld data'!$U$3:$U$282,"="&amp;$B45&amp;$C45&amp;$D45,'res bld data'!$S$3:$S$282)</f>
        <v>1</v>
      </c>
      <c r="X45" s="116">
        <f ca="1">SUMIF('res bld data'!$U$3:$U$282,"="&amp;$B45&amp;$C45&amp;$D45,'res bld data'!O$3:O$282)/SUMIF('res bld data'!$U$3:$U$282,"="&amp;$B45&amp;$C45&amp;$D45,'res bld data'!$S$3:$S$282)</f>
        <v>0</v>
      </c>
      <c r="Z45" s="116">
        <f ca="1">IFERROR(SUMIF('res bld data'!$U$3:$U$107,"="&amp;$B45&amp;$C45&amp;$D45,'res bld data'!M$3:M$107)/SUMIF('res bld data'!$U$109:$U$123,"="&amp;$B45&amp;$C45,'res bld data'!M$109:M$123),0)</f>
        <v>0.14122495635370075</v>
      </c>
      <c r="AA45" s="116">
        <f ca="1">IFERROR(SUMIF('res bld data'!$U$3:$U$107,"="&amp;$B45&amp;$C45&amp;$D45,'res bld data'!O$3:O$107)/SUMIF('res bld data'!$U$109:$U$123,"="&amp;$B45&amp;$C45,'res bld data'!O$109:O$123),0)</f>
        <v>0</v>
      </c>
    </row>
    <row r="46" spans="2:27">
      <c r="B46" s="20" t="s">
        <v>9</v>
      </c>
      <c r="C46" s="20" t="s">
        <v>373</v>
      </c>
      <c r="D46" s="20" t="s">
        <v>372</v>
      </c>
      <c r="E46" s="75">
        <f t="shared" ca="1" si="0"/>
        <v>6.5934000172430185</v>
      </c>
      <c r="F46" s="75">
        <f t="shared" ca="1" si="1"/>
        <v>0.67049298070882069</v>
      </c>
      <c r="G46" s="21">
        <f t="shared" ref="G46:G51" ca="1" si="56">G45</f>
        <v>1763</v>
      </c>
      <c r="H46" s="21">
        <f t="shared" ref="H46:I46" ca="1" si="57">$S46*T46</f>
        <v>69187.352952156332</v>
      </c>
      <c r="I46" s="21">
        <f t="shared" ca="1" si="57"/>
        <v>69147.619392560737</v>
      </c>
      <c r="J46" s="21"/>
      <c r="R46" s="115"/>
      <c r="S46" s="22">
        <f ca="1">G46/SUMIF('res bld data'!$B$3:$B$14,"="&amp;B46,'res bld data'!$G$3:$G$14)</f>
        <v>3.7905826703934636E-2</v>
      </c>
      <c r="T46" s="21">
        <f>SUMIFS('Projections by County'!$D$10:$D$36,'Projections by County'!$A$10:$A$36,B46,'Projections by County'!$C$10:$C$36,"Electricity (kWh)",'Projections by County'!$B$10:$B$36,"Residential")*BTU_per_kWh/1000000</f>
        <v>1825243.2137293199</v>
      </c>
      <c r="U46" s="21">
        <f>SUMIFS('Projections by County'!$D$10:$D$36,'Projections by County'!$A$10:$A$36,B46,'Projections by County'!$C$10:$C$36,"Natural Gas",'Projections by County'!$B$10:$B$36,"Residential")</f>
        <v>1824194.996</v>
      </c>
      <c r="V46" s="116"/>
      <c r="W46" s="116">
        <f ca="1">SUMIF('res bld data'!$U$3:$U$282,"="&amp;$B46&amp;$C46&amp;$D46,'res bld data'!M$3:M$282)/SUMIF('res bld data'!$U$3:$U$282,"="&amp;$B46&amp;$C46&amp;$D46,'res bld data'!$S$3:$S$282)</f>
        <v>0.80330307314356675</v>
      </c>
      <c r="X46" s="116">
        <f ca="1">SUMIF('res bld data'!$U$3:$U$282,"="&amp;$B46&amp;$C46&amp;$D46,'res bld data'!O$3:O$282)/SUMIF('res bld data'!$U$3:$U$282,"="&amp;$B46&amp;$C46&amp;$D46,'res bld data'!$S$3:$S$282)</f>
        <v>0.19669692685643325</v>
      </c>
      <c r="Z46" s="116">
        <f ca="1">IFERROR(SUMIF('res bld data'!$U$3:$U$107,"="&amp;$B46&amp;$C46&amp;$D46,'res bld data'!M$3:M$107)/SUMIF('res bld data'!$U$109:$U$123,"="&amp;$B46&amp;$C46,'res bld data'!M$109:M$123),0)</f>
        <v>0.16800995751980358</v>
      </c>
      <c r="AA46" s="116">
        <f ca="1">IFERROR(SUMIF('res bld data'!$U$3:$U$107,"="&amp;$B46&amp;$C46&amp;$D46,'res bld data'!O$3:O$107)/SUMIF('res bld data'!$U$109:$U$123,"="&amp;$B46&amp;$C46,'res bld data'!O$109:O$123),0)</f>
        <v>1.709500826454808E-2</v>
      </c>
    </row>
    <row r="47" spans="2:27">
      <c r="B47" s="20" t="s">
        <v>9</v>
      </c>
      <c r="C47" s="20" t="s">
        <v>373</v>
      </c>
      <c r="D47" s="20" t="s">
        <v>374</v>
      </c>
      <c r="E47" s="75">
        <f t="shared" ca="1" si="0"/>
        <v>10.774129485503751</v>
      </c>
      <c r="F47" s="75">
        <f t="shared" ca="1" si="1"/>
        <v>0</v>
      </c>
      <c r="G47" s="21">
        <f t="shared" ca="1" si="56"/>
        <v>1763</v>
      </c>
      <c r="H47" s="21">
        <f t="shared" ref="H47:I47" ca="1" si="58">$S47*T47</f>
        <v>69187.352952156332</v>
      </c>
      <c r="I47" s="21">
        <f t="shared" ca="1" si="58"/>
        <v>69147.619392560737</v>
      </c>
      <c r="J47" s="21"/>
      <c r="R47" s="115"/>
      <c r="S47" s="22">
        <f ca="1">G47/SUMIF('res bld data'!$B$3:$B$14,"="&amp;B47,'res bld data'!$G$3:$G$14)</f>
        <v>3.7905826703934636E-2</v>
      </c>
      <c r="T47" s="21">
        <f>SUMIFS('Projections by County'!$D$10:$D$36,'Projections by County'!$A$10:$A$36,B47,'Projections by County'!$C$10:$C$36,"Electricity (kWh)",'Projections by County'!$B$10:$B$36,"Residential")*BTU_per_kWh/1000000</f>
        <v>1825243.2137293199</v>
      </c>
      <c r="U47" s="21">
        <f>SUMIFS('Projections by County'!$D$10:$D$36,'Projections by County'!$A$10:$A$36,B47,'Projections by County'!$C$10:$C$36,"Natural Gas",'Projections by County'!$B$10:$B$36,"Residential")</f>
        <v>1824194.996</v>
      </c>
      <c r="V47" s="116"/>
      <c r="W47" s="116">
        <f ca="1">SUMIF('res bld data'!$U$3:$U$282,"="&amp;$B47&amp;$C47&amp;$D47,'res bld data'!M$3:M$282)/SUMIF('res bld data'!$U$3:$U$282,"="&amp;$B47&amp;$C47&amp;$D47,'res bld data'!$S$3:$S$282)</f>
        <v>1</v>
      </c>
      <c r="X47" s="116">
        <f ca="1">SUMIF('res bld data'!$U$3:$U$282,"="&amp;$B47&amp;$C47&amp;$D47,'res bld data'!O$3:O$282)/SUMIF('res bld data'!$U$3:$U$282,"="&amp;$B47&amp;$C47&amp;$D47,'res bld data'!$S$3:$S$282)</f>
        <v>0</v>
      </c>
      <c r="Z47" s="116">
        <f ca="1">IFERROR(SUMIF('res bld data'!$U$3:$U$107,"="&amp;$B47&amp;$C47&amp;$D47,'res bld data'!M$3:M$107)/SUMIF('res bld data'!$U$109:$U$123,"="&amp;$B47&amp;$C47,'res bld data'!M$109:M$123),0)</f>
        <v>0.27454136446119248</v>
      </c>
      <c r="AA47" s="116">
        <f ca="1">IFERROR(SUMIF('res bld data'!$U$3:$U$107,"="&amp;$B47&amp;$C47&amp;$D47,'res bld data'!O$3:O$107)/SUMIF('res bld data'!$U$109:$U$123,"="&amp;$B47&amp;$C47,'res bld data'!O$109:O$123),0)</f>
        <v>0</v>
      </c>
    </row>
    <row r="48" spans="2:27">
      <c r="B48" s="20" t="s">
        <v>9</v>
      </c>
      <c r="C48" s="20" t="s">
        <v>373</v>
      </c>
      <c r="D48" s="20" t="s">
        <v>375</v>
      </c>
      <c r="E48" s="75">
        <f t="shared" ca="1" si="0"/>
        <v>2.5899803198814308</v>
      </c>
      <c r="F48" s="75">
        <f t="shared" ca="1" si="1"/>
        <v>0</v>
      </c>
      <c r="G48" s="21">
        <f t="shared" ca="1" si="56"/>
        <v>1763</v>
      </c>
      <c r="H48" s="21">
        <f t="shared" ref="H48:I48" ca="1" si="59">$S48*T48</f>
        <v>69187.352952156332</v>
      </c>
      <c r="I48" s="21">
        <f t="shared" ca="1" si="59"/>
        <v>69147.619392560737</v>
      </c>
      <c r="J48" s="21"/>
      <c r="R48" s="115"/>
      <c r="S48" s="22">
        <f ca="1">G48/SUMIF('res bld data'!$B$3:$B$14,"="&amp;B48,'res bld data'!$G$3:$G$14)</f>
        <v>3.7905826703934636E-2</v>
      </c>
      <c r="T48" s="21">
        <f>SUMIFS('Projections by County'!$D$10:$D$36,'Projections by County'!$A$10:$A$36,B48,'Projections by County'!$C$10:$C$36,"Electricity (kWh)",'Projections by County'!$B$10:$B$36,"Residential")*BTU_per_kWh/1000000</f>
        <v>1825243.2137293199</v>
      </c>
      <c r="U48" s="21">
        <f>SUMIFS('Projections by County'!$D$10:$D$36,'Projections by County'!$A$10:$A$36,B48,'Projections by County'!$C$10:$C$36,"Natural Gas",'Projections by County'!$B$10:$B$36,"Residential")</f>
        <v>1824194.996</v>
      </c>
      <c r="V48" s="116"/>
      <c r="W48" s="116">
        <f ca="1">SUMIF('res bld data'!$U$3:$U$282,"="&amp;$B48&amp;$C48&amp;$D48,'res bld data'!M$3:M$282)/SUMIF('res bld data'!$U$3:$U$282,"="&amp;$B48&amp;$C48&amp;$D48,'res bld data'!$S$3:$S$282)</f>
        <v>1</v>
      </c>
      <c r="X48" s="116">
        <f ca="1">SUMIF('res bld data'!$U$3:$U$282,"="&amp;$B48&amp;$C48&amp;$D48,'res bld data'!O$3:O$282)/SUMIF('res bld data'!$U$3:$U$282,"="&amp;$B48&amp;$C48&amp;$D48,'res bld data'!$S$3:$S$282)</f>
        <v>0</v>
      </c>
      <c r="Z48" s="116">
        <f ca="1">IFERROR(SUMIF('res bld data'!$U$3:$U$107,"="&amp;$B48&amp;$C48&amp;$D48,'res bld data'!M$3:M$107)/SUMIF('res bld data'!$U$109:$U$123,"="&amp;$B48&amp;$C48,'res bld data'!M$109:M$123),0)</f>
        <v>6.5996675824676873E-2</v>
      </c>
      <c r="AA48" s="116">
        <f ca="1">IFERROR(SUMIF('res bld data'!$U$3:$U$107,"="&amp;$B48&amp;$C48&amp;$D48,'res bld data'!O$3:O$107)/SUMIF('res bld data'!$U$109:$U$123,"="&amp;$B48&amp;$C48,'res bld data'!O$109:O$123),0)</f>
        <v>0</v>
      </c>
    </row>
    <row r="49" spans="2:27">
      <c r="B49" s="20" t="s">
        <v>9</v>
      </c>
      <c r="C49" s="20" t="s">
        <v>373</v>
      </c>
      <c r="D49" s="20" t="s">
        <v>376</v>
      </c>
      <c r="E49" s="75">
        <f t="shared" ca="1" si="0"/>
        <v>5.2891703523037137</v>
      </c>
      <c r="F49" s="75">
        <f t="shared" ca="1" si="1"/>
        <v>0</v>
      </c>
      <c r="G49" s="21">
        <f t="shared" ca="1" si="56"/>
        <v>1763</v>
      </c>
      <c r="H49" s="21">
        <f t="shared" ref="H49:I49" ca="1" si="60">$S49*T49</f>
        <v>69187.352952156332</v>
      </c>
      <c r="I49" s="21">
        <f t="shared" ca="1" si="60"/>
        <v>69147.619392560737</v>
      </c>
      <c r="J49" s="21"/>
      <c r="R49" s="115"/>
      <c r="S49" s="22">
        <f ca="1">G49/SUMIF('res bld data'!$B$3:$B$14,"="&amp;B49,'res bld data'!$G$3:$G$14)</f>
        <v>3.7905826703934636E-2</v>
      </c>
      <c r="T49" s="21">
        <f>SUMIFS('Projections by County'!$D$10:$D$36,'Projections by County'!$A$10:$A$36,B49,'Projections by County'!$C$10:$C$36,"Electricity (kWh)",'Projections by County'!$B$10:$B$36,"Residential")*BTU_per_kWh/1000000</f>
        <v>1825243.2137293199</v>
      </c>
      <c r="U49" s="21">
        <f>SUMIFS('Projections by County'!$D$10:$D$36,'Projections by County'!$A$10:$A$36,B49,'Projections by County'!$C$10:$C$36,"Natural Gas",'Projections by County'!$B$10:$B$36,"Residential")</f>
        <v>1824194.996</v>
      </c>
      <c r="V49" s="116"/>
      <c r="W49" s="116">
        <f ca="1">SUMIF('res bld data'!$U$3:$U$282,"="&amp;$B49&amp;$C49&amp;$D49,'res bld data'!M$3:M$282)/SUMIF('res bld data'!$U$3:$U$282,"="&amp;$B49&amp;$C49&amp;$D49,'res bld data'!$S$3:$S$282)</f>
        <v>1</v>
      </c>
      <c r="X49" s="116">
        <f ca="1">SUMIF('res bld data'!$U$3:$U$282,"="&amp;$B49&amp;$C49&amp;$D49,'res bld data'!O$3:O$282)/SUMIF('res bld data'!$U$3:$U$282,"="&amp;$B49&amp;$C49&amp;$D49,'res bld data'!$S$3:$S$282)</f>
        <v>0</v>
      </c>
      <c r="Z49" s="116">
        <f ca="1">IFERROR(SUMIF('res bld data'!$U$3:$U$107,"="&amp;$B49&amp;$C49&amp;$D49,'res bld data'!M$3:M$107)/SUMIF('res bld data'!$U$109:$U$123,"="&amp;$B49&amp;$C49,'res bld data'!M$109:M$123),0)</f>
        <v>0.13477618283155932</v>
      </c>
      <c r="AA49" s="116">
        <f ca="1">IFERROR(SUMIF('res bld data'!$U$3:$U$107,"="&amp;$B49&amp;$C49&amp;$D49,'res bld data'!O$3:O$107)/SUMIF('res bld data'!$U$109:$U$123,"="&amp;$B49&amp;$C49,'res bld data'!O$109:O$123),0)</f>
        <v>0</v>
      </c>
    </row>
    <row r="50" spans="2:27">
      <c r="B50" s="20" t="s">
        <v>9</v>
      </c>
      <c r="C50" s="20" t="s">
        <v>373</v>
      </c>
      <c r="D50" s="20" t="s">
        <v>377</v>
      </c>
      <c r="E50" s="75">
        <f t="shared" ca="1" si="0"/>
        <v>7.295024573921455</v>
      </c>
      <c r="F50" s="75">
        <f t="shared" ca="1" si="1"/>
        <v>30.853929501865721</v>
      </c>
      <c r="G50" s="21">
        <f t="shared" ca="1" si="56"/>
        <v>1763</v>
      </c>
      <c r="H50" s="21">
        <f t="shared" ref="H50:I50" ca="1" si="61">$S50*T50</f>
        <v>69187.352952156332</v>
      </c>
      <c r="I50" s="21">
        <f t="shared" ca="1" si="61"/>
        <v>69147.619392560737</v>
      </c>
      <c r="J50" s="21"/>
      <c r="R50" s="115"/>
      <c r="S50" s="22">
        <f ca="1">G50/SUMIF('res bld data'!$B$3:$B$14,"="&amp;B50,'res bld data'!$G$3:$G$14)</f>
        <v>3.7905826703934636E-2</v>
      </c>
      <c r="T50" s="21">
        <f>SUMIFS('Projections by County'!$D$10:$D$36,'Projections by County'!$A$10:$A$36,B50,'Projections by County'!$C$10:$C$36,"Electricity (kWh)",'Projections by County'!$B$10:$B$36,"Residential")*BTU_per_kWh/1000000</f>
        <v>1825243.2137293199</v>
      </c>
      <c r="U50" s="21">
        <f>SUMIFS('Projections by County'!$D$10:$D$36,'Projections by County'!$A$10:$A$36,B50,'Projections by County'!$C$10:$C$36,"Natural Gas",'Projections by County'!$B$10:$B$36,"Residential")</f>
        <v>1824194.996</v>
      </c>
      <c r="V50" s="116"/>
      <c r="W50" s="116">
        <f ca="1">SUMIF('res bld data'!$U$3:$U$282,"="&amp;$B50&amp;$C50&amp;$D50,'res bld data'!M$3:M$282)/SUMIF('res bld data'!$U$3:$U$282,"="&amp;$B50&amp;$C50&amp;$D50,'res bld data'!$S$3:$S$282)</f>
        <v>8.9413697397278363E-2</v>
      </c>
      <c r="X50" s="116">
        <f ca="1">SUMIF('res bld data'!$U$3:$U$282,"="&amp;$B50&amp;$C50&amp;$D50,'res bld data'!O$3:O$282)/SUMIF('res bld data'!$U$3:$U$282,"="&amp;$B50&amp;$C50&amp;$D50,'res bld data'!$S$3:$S$282)</f>
        <v>0.91058630260272155</v>
      </c>
      <c r="Z50" s="116">
        <f ca="1">IFERROR(SUMIF('res bld data'!$U$3:$U$107,"="&amp;$B50&amp;$C50&amp;$D50,'res bld data'!M$3:M$107)/SUMIF('res bld data'!$U$109:$U$123,"="&amp;$B50&amp;$C50,'res bld data'!M$109:M$123),0)</f>
        <v>0.18588842866581567</v>
      </c>
      <c r="AA50" s="116">
        <f ca="1">IFERROR(SUMIF('res bld data'!$U$3:$U$107,"="&amp;$B50&amp;$C50&amp;$D50,'res bld data'!O$3:O$107)/SUMIF('res bld data'!$U$109:$U$123,"="&amp;$B50&amp;$C50,'res bld data'!O$109:O$123),0)</f>
        <v>0.78665727308670608</v>
      </c>
    </row>
    <row r="51" spans="2:27">
      <c r="B51" s="20" t="s">
        <v>9</v>
      </c>
      <c r="C51" s="20" t="s">
        <v>373</v>
      </c>
      <c r="D51" s="20" t="s">
        <v>378</v>
      </c>
      <c r="E51" s="75">
        <f t="shared" ca="1" si="0"/>
        <v>1.1601512076185401</v>
      </c>
      <c r="F51" s="75">
        <f t="shared" ca="1" si="1"/>
        <v>7.6971426862063677</v>
      </c>
      <c r="G51" s="21">
        <f t="shared" ca="1" si="56"/>
        <v>1763</v>
      </c>
      <c r="H51" s="21">
        <f t="shared" ref="H51:I51" ca="1" si="62">$S51*T51</f>
        <v>69187.352952156332</v>
      </c>
      <c r="I51" s="21">
        <f t="shared" ca="1" si="62"/>
        <v>69147.619392560737</v>
      </c>
      <c r="J51" s="21"/>
      <c r="R51" s="115"/>
      <c r="S51" s="22">
        <f ca="1">G51/SUMIF('res bld data'!$B$3:$B$14,"="&amp;B51,'res bld data'!$G$3:$G$14)</f>
        <v>3.7905826703934636E-2</v>
      </c>
      <c r="T51" s="21">
        <f>SUMIFS('Projections by County'!$D$10:$D$36,'Projections by County'!$A$10:$A$36,B51,'Projections by County'!$C$10:$C$36,"Electricity (kWh)",'Projections by County'!$B$10:$B$36,"Residential")*BTU_per_kWh/1000000</f>
        <v>1825243.2137293199</v>
      </c>
      <c r="U51" s="21">
        <f>SUMIFS('Projections by County'!$D$10:$D$36,'Projections by County'!$A$10:$A$36,B51,'Projections by County'!$C$10:$C$36,"Natural Gas",'Projections by County'!$B$10:$B$36,"Residential")</f>
        <v>1824194.996</v>
      </c>
      <c r="V51" s="116"/>
      <c r="W51" s="116">
        <f ca="1">SUMIF('res bld data'!$U$3:$U$282,"="&amp;$B51&amp;$C51&amp;$D51,'res bld data'!M$3:M$282)/SUMIF('res bld data'!$U$3:$U$282,"="&amp;$B51&amp;$C51&amp;$D51,'res bld data'!$S$3:$S$282)</f>
        <v>5.8909216135010753E-2</v>
      </c>
      <c r="X51" s="116">
        <f ca="1">SUMIF('res bld data'!$U$3:$U$282,"="&amp;$B51&amp;$C51&amp;$D51,'res bld data'!O$3:O$282)/SUMIF('res bld data'!$U$3:$U$282,"="&amp;$B51&amp;$C51&amp;$D51,'res bld data'!$S$3:$S$282)</f>
        <v>0.94109078386498923</v>
      </c>
      <c r="Z51" s="116">
        <f ca="1">IFERROR(SUMIF('res bld data'!$U$3:$U$107,"="&amp;$B51&amp;$C51&amp;$D51,'res bld data'!M$3:M$107)/SUMIF('res bld data'!$U$109:$U$123,"="&amp;$B51&amp;$C51,'res bld data'!M$109:M$123),0)</f>
        <v>2.956243434325145E-2</v>
      </c>
      <c r="AA51" s="116">
        <f ca="1">IFERROR(SUMIF('res bld data'!$U$3:$U$107,"="&amp;$B51&amp;$C51&amp;$D51,'res bld data'!O$3:O$107)/SUMIF('res bld data'!$U$109:$U$123,"="&amp;$B51&amp;$C51,'res bld data'!O$109:O$123),0)</f>
        <v>0.19624771864874591</v>
      </c>
    </row>
    <row r="52" spans="2:27">
      <c r="B52" s="20" t="s">
        <v>9</v>
      </c>
      <c r="C52" s="20" t="s">
        <v>370</v>
      </c>
      <c r="D52" s="20" t="s">
        <v>369</v>
      </c>
      <c r="E52" s="75">
        <f t="shared" ca="1" si="0"/>
        <v>3.5212057845319871</v>
      </c>
      <c r="F52" s="75">
        <f t="shared" ca="1" si="1"/>
        <v>1.1040196696691932E-2</v>
      </c>
      <c r="G52" s="21">
        <f ca="1">VLOOKUP(B52&amp;C52,'res bld data'!$A$3:$H$37,7,FALSE)</f>
        <v>36903</v>
      </c>
      <c r="H52" s="21">
        <f t="shared" ref="H52:I52" ca="1" si="63">$S52*T52</f>
        <v>1448225.1196786303</v>
      </c>
      <c r="I52" s="21">
        <f t="shared" ca="1" si="63"/>
        <v>1447393.419423522</v>
      </c>
      <c r="J52" s="21"/>
      <c r="R52" s="115"/>
      <c r="S52" s="22">
        <f ca="1">G52/SUMIF('res bld data'!$B$3:$B$14,"="&amp;B52,'res bld data'!$G$3:$G$14)</f>
        <v>0.7934422704794668</v>
      </c>
      <c r="T52" s="21">
        <f>SUMIFS('Projections by County'!$D$10:$D$36,'Projections by County'!$A$10:$A$36,B52,'Projections by County'!$C$10:$C$36,"Electricity (kWh)",'Projections by County'!$B$10:$B$36,"Residential")*BTU_per_kWh/1000000</f>
        <v>1825243.2137293199</v>
      </c>
      <c r="U52" s="21">
        <f>SUMIFS('Projections by County'!$D$10:$D$36,'Projections by County'!$A$10:$A$36,B52,'Projections by County'!$C$10:$C$36,"Natural Gas",'Projections by County'!$B$10:$B$36,"Residential")</f>
        <v>1824194.996</v>
      </c>
      <c r="V52" s="116"/>
      <c r="W52" s="116">
        <f ca="1">SUMIF('res bld data'!$U$3:$U$282,"="&amp;$B52&amp;$C52&amp;$D52,'res bld data'!M$3:M$282)/SUMIF('res bld data'!$U$3:$U$282,"="&amp;$B52&amp;$C52&amp;$D52,'res bld data'!$S$3:$S$282)</f>
        <v>0.99465278996293149</v>
      </c>
      <c r="X52" s="116">
        <f ca="1">SUMIF('res bld data'!$U$3:$U$282,"="&amp;$B52&amp;$C52&amp;$D52,'res bld data'!O$3:O$282)/SUMIF('res bld data'!$U$3:$U$282,"="&amp;$B52&amp;$C52&amp;$D52,'res bld data'!$S$3:$S$282)</f>
        <v>5.3472100370685512E-3</v>
      </c>
      <c r="Z52" s="116">
        <f ca="1">IFERROR(SUMIF('res bld data'!$U$3:$U$107,"="&amp;$B52&amp;$C52&amp;$D52,'res bld data'!M$3:M$107)/SUMIF('res bld data'!$U$109:$U$123,"="&amp;$B52&amp;$C52,'res bld data'!M$109:M$123),0)</f>
        <v>8.9725730689866126E-2</v>
      </c>
      <c r="AA52" s="116">
        <f ca="1">IFERROR(SUMIF('res bld data'!$U$3:$U$107,"="&amp;$B52&amp;$C52&amp;$D52,'res bld data'!O$3:O$107)/SUMIF('res bld data'!$U$109:$U$123,"="&amp;$B52&amp;$C52,'res bld data'!O$109:O$123),0)</f>
        <v>2.8148281816860204E-4</v>
      </c>
    </row>
    <row r="53" spans="2:27">
      <c r="B53" s="20" t="s">
        <v>9</v>
      </c>
      <c r="C53" s="20" t="s">
        <v>370</v>
      </c>
      <c r="D53" s="20" t="s">
        <v>372</v>
      </c>
      <c r="E53" s="75">
        <f t="shared" ca="1" si="0"/>
        <v>5.8767861815302194</v>
      </c>
      <c r="F53" s="75">
        <f t="shared" ca="1" si="1"/>
        <v>0.98310711088355007</v>
      </c>
      <c r="G53" s="21">
        <f t="shared" ref="G53:G58" ca="1" si="64">G52</f>
        <v>36903</v>
      </c>
      <c r="H53" s="21">
        <f t="shared" ref="H53:I53" ca="1" si="65">$S53*T53</f>
        <v>1448225.1196786303</v>
      </c>
      <c r="I53" s="21">
        <f t="shared" ca="1" si="65"/>
        <v>1447393.419423522</v>
      </c>
      <c r="J53" s="21"/>
      <c r="R53" s="115"/>
      <c r="S53" s="22">
        <f ca="1">G53/SUMIF('res bld data'!$B$3:$B$14,"="&amp;B53,'res bld data'!$G$3:$G$14)</f>
        <v>0.7934422704794668</v>
      </c>
      <c r="T53" s="21">
        <f>SUMIFS('Projections by County'!$D$10:$D$36,'Projections by County'!$A$10:$A$36,B53,'Projections by County'!$C$10:$C$36,"Electricity (kWh)",'Projections by County'!$B$10:$B$36,"Residential")*BTU_per_kWh/1000000</f>
        <v>1825243.2137293199</v>
      </c>
      <c r="U53" s="21">
        <f>SUMIFS('Projections by County'!$D$10:$D$36,'Projections by County'!$A$10:$A$36,B53,'Projections by County'!$C$10:$C$36,"Natural Gas",'Projections by County'!$B$10:$B$36,"Residential")</f>
        <v>1824194.996</v>
      </c>
      <c r="V53" s="116"/>
      <c r="W53" s="116">
        <f ca="1">SUMIF('res bld data'!$U$3:$U$282,"="&amp;$B53&amp;$C53&amp;$D53,'res bld data'!M$3:M$282)/SUMIF('res bld data'!$U$3:$U$282,"="&amp;$B53&amp;$C53&amp;$D53,'res bld data'!$S$3:$S$282)</f>
        <v>0.77710074905820281</v>
      </c>
      <c r="X53" s="116">
        <f ca="1">SUMIF('res bld data'!$U$3:$U$282,"="&amp;$B53&amp;$C53&amp;$D53,'res bld data'!O$3:O$282)/SUMIF('res bld data'!$U$3:$U$282,"="&amp;$B53&amp;$C53&amp;$D53,'res bld data'!$S$3:$S$282)</f>
        <v>0.22289925094179716</v>
      </c>
      <c r="Z53" s="116">
        <f ca="1">IFERROR(SUMIF('res bld data'!$U$3:$U$107,"="&amp;$B53&amp;$C53&amp;$D53,'res bld data'!M$3:M$107)/SUMIF('res bld data'!$U$109:$U$123,"="&amp;$B53&amp;$C53,'res bld data'!M$109:M$123),0)</f>
        <v>0.14974953652587841</v>
      </c>
      <c r="AA53" s="116">
        <f ca="1">IFERROR(SUMIF('res bld data'!$U$3:$U$107,"="&amp;$B53&amp;$C53&amp;$D53,'res bld data'!O$3:O$107)/SUMIF('res bld data'!$U$109:$U$123,"="&amp;$B53&amp;$C53,'res bld data'!O$109:O$123),0)</f>
        <v>2.5065473717149647E-2</v>
      </c>
    </row>
    <row r="54" spans="2:27">
      <c r="B54" s="20" t="s">
        <v>9</v>
      </c>
      <c r="C54" s="20" t="s">
        <v>370</v>
      </c>
      <c r="D54" s="20" t="s">
        <v>374</v>
      </c>
      <c r="E54" s="75">
        <f t="shared" ca="1" si="0"/>
        <v>6.5220004446697422</v>
      </c>
      <c r="F54" s="75">
        <f t="shared" ca="1" si="1"/>
        <v>0</v>
      </c>
      <c r="G54" s="21">
        <f t="shared" ca="1" si="64"/>
        <v>36903</v>
      </c>
      <c r="H54" s="21">
        <f t="shared" ref="H54:I54" ca="1" si="66">$S54*T54</f>
        <v>1448225.1196786303</v>
      </c>
      <c r="I54" s="21">
        <f t="shared" ca="1" si="66"/>
        <v>1447393.419423522</v>
      </c>
      <c r="J54" s="21"/>
      <c r="R54" s="115"/>
      <c r="S54" s="22">
        <f ca="1">G54/SUMIF('res bld data'!$B$3:$B$14,"="&amp;B54,'res bld data'!$G$3:$G$14)</f>
        <v>0.7934422704794668</v>
      </c>
      <c r="T54" s="21">
        <f>SUMIFS('Projections by County'!$D$10:$D$36,'Projections by County'!$A$10:$A$36,B54,'Projections by County'!$C$10:$C$36,"Electricity (kWh)",'Projections by County'!$B$10:$B$36,"Residential")*BTU_per_kWh/1000000</f>
        <v>1825243.2137293199</v>
      </c>
      <c r="U54" s="21">
        <f>SUMIFS('Projections by County'!$D$10:$D$36,'Projections by County'!$A$10:$A$36,B54,'Projections by County'!$C$10:$C$36,"Natural Gas",'Projections by County'!$B$10:$B$36,"Residential")</f>
        <v>1824194.996</v>
      </c>
      <c r="V54" s="116"/>
      <c r="W54" s="116">
        <f ca="1">SUMIF('res bld data'!$U$3:$U$282,"="&amp;$B54&amp;$C54&amp;$D54,'res bld data'!M$3:M$282)/SUMIF('res bld data'!$U$3:$U$282,"="&amp;$B54&amp;$C54&amp;$D54,'res bld data'!$S$3:$S$282)</f>
        <v>1</v>
      </c>
      <c r="X54" s="116">
        <f ca="1">SUMIF('res bld data'!$U$3:$U$282,"="&amp;$B54&amp;$C54&amp;$D54,'res bld data'!O$3:O$282)/SUMIF('res bld data'!$U$3:$U$282,"="&amp;$B54&amp;$C54&amp;$D54,'res bld data'!$S$3:$S$282)</f>
        <v>0</v>
      </c>
      <c r="Z54" s="116">
        <f ca="1">IFERROR(SUMIF('res bld data'!$U$3:$U$107,"="&amp;$B54&amp;$C54&amp;$D54,'res bld data'!M$3:M$107)/SUMIF('res bld data'!$U$109:$U$123,"="&amp;$B54&amp;$C54,'res bld data'!M$109:M$123),0)</f>
        <v>0.1661905867666873</v>
      </c>
      <c r="AA54" s="116">
        <f ca="1">IFERROR(SUMIF('res bld data'!$U$3:$U$107,"="&amp;$B54&amp;$C54&amp;$D54,'res bld data'!O$3:O$107)/SUMIF('res bld data'!$U$109:$U$123,"="&amp;$B54&amp;$C54,'res bld data'!O$109:O$123),0)</f>
        <v>0</v>
      </c>
    </row>
    <row r="55" spans="2:27">
      <c r="B55" s="20" t="s">
        <v>9</v>
      </c>
      <c r="C55" s="20" t="s">
        <v>370</v>
      </c>
      <c r="D55" s="20" t="s">
        <v>375</v>
      </c>
      <c r="E55" s="75">
        <f t="shared" ca="1" si="0"/>
        <v>2.3115765377707342</v>
      </c>
      <c r="F55" s="75">
        <f t="shared" ca="1" si="1"/>
        <v>0</v>
      </c>
      <c r="G55" s="21">
        <f t="shared" ca="1" si="64"/>
        <v>36903</v>
      </c>
      <c r="H55" s="21">
        <f t="shared" ref="H55:I55" ca="1" si="67">$S55*T55</f>
        <v>1448225.1196786303</v>
      </c>
      <c r="I55" s="21">
        <f t="shared" ca="1" si="67"/>
        <v>1447393.419423522</v>
      </c>
      <c r="J55" s="21"/>
      <c r="R55" s="115"/>
      <c r="S55" s="22">
        <f ca="1">G55/SUMIF('res bld data'!$B$3:$B$14,"="&amp;B55,'res bld data'!$G$3:$G$14)</f>
        <v>0.7934422704794668</v>
      </c>
      <c r="T55" s="21">
        <f>SUMIFS('Projections by County'!$D$10:$D$36,'Projections by County'!$A$10:$A$36,B55,'Projections by County'!$C$10:$C$36,"Electricity (kWh)",'Projections by County'!$B$10:$B$36,"Residential")*BTU_per_kWh/1000000</f>
        <v>1825243.2137293199</v>
      </c>
      <c r="U55" s="21">
        <f>SUMIFS('Projections by County'!$D$10:$D$36,'Projections by County'!$A$10:$A$36,B55,'Projections by County'!$C$10:$C$36,"Natural Gas",'Projections by County'!$B$10:$B$36,"Residential")</f>
        <v>1824194.996</v>
      </c>
      <c r="V55" s="116"/>
      <c r="W55" s="116">
        <f ca="1">SUMIF('res bld data'!$U$3:$U$282,"="&amp;$B55&amp;$C55&amp;$D55,'res bld data'!M$3:M$282)/SUMIF('res bld data'!$U$3:$U$282,"="&amp;$B55&amp;$C55&amp;$D55,'res bld data'!$S$3:$S$282)</f>
        <v>1</v>
      </c>
      <c r="X55" s="116">
        <f ca="1">SUMIF('res bld data'!$U$3:$U$282,"="&amp;$B55&amp;$C55&amp;$D55,'res bld data'!O$3:O$282)/SUMIF('res bld data'!$U$3:$U$282,"="&amp;$B55&amp;$C55&amp;$D55,'res bld data'!$S$3:$S$282)</f>
        <v>0</v>
      </c>
      <c r="Z55" s="116">
        <f ca="1">IFERROR(SUMIF('res bld data'!$U$3:$U$107,"="&amp;$B55&amp;$C55&amp;$D55,'res bld data'!M$3:M$107)/SUMIF('res bld data'!$U$109:$U$123,"="&amp;$B55&amp;$C55,'res bld data'!M$109:M$123),0)</f>
        <v>5.8902519928864985E-2</v>
      </c>
      <c r="AA55" s="116">
        <f ca="1">IFERROR(SUMIF('res bld data'!$U$3:$U$107,"="&amp;$B55&amp;$C55&amp;$D55,'res bld data'!O$3:O$107)/SUMIF('res bld data'!$U$109:$U$123,"="&amp;$B55&amp;$C55,'res bld data'!O$109:O$123),0)</f>
        <v>0</v>
      </c>
    </row>
    <row r="56" spans="2:27">
      <c r="B56" s="20" t="s">
        <v>9</v>
      </c>
      <c r="C56" s="20" t="s">
        <v>370</v>
      </c>
      <c r="D56" s="20" t="s">
        <v>376</v>
      </c>
      <c r="E56" s="75">
        <f t="shared" ca="1" si="0"/>
        <v>4.3160726271486727</v>
      </c>
      <c r="F56" s="75">
        <f t="shared" ca="1" si="1"/>
        <v>0</v>
      </c>
      <c r="G56" s="21">
        <f t="shared" ca="1" si="64"/>
        <v>36903</v>
      </c>
      <c r="H56" s="21">
        <f t="shared" ref="H56:I56" ca="1" si="68">$S56*T56</f>
        <v>1448225.1196786303</v>
      </c>
      <c r="I56" s="21">
        <f t="shared" ca="1" si="68"/>
        <v>1447393.419423522</v>
      </c>
      <c r="J56" s="21"/>
      <c r="R56" s="115"/>
      <c r="S56" s="22">
        <f ca="1">G56/SUMIF('res bld data'!$B$3:$B$14,"="&amp;B56,'res bld data'!$G$3:$G$14)</f>
        <v>0.7934422704794668</v>
      </c>
      <c r="T56" s="21">
        <f>SUMIFS('Projections by County'!$D$10:$D$36,'Projections by County'!$A$10:$A$36,B56,'Projections by County'!$C$10:$C$36,"Electricity (kWh)",'Projections by County'!$B$10:$B$36,"Residential")*BTU_per_kWh/1000000</f>
        <v>1825243.2137293199</v>
      </c>
      <c r="U56" s="21">
        <f>SUMIFS('Projections by County'!$D$10:$D$36,'Projections by County'!$A$10:$A$36,B56,'Projections by County'!$C$10:$C$36,"Natural Gas",'Projections by County'!$B$10:$B$36,"Residential")</f>
        <v>1824194.996</v>
      </c>
      <c r="V56" s="116"/>
      <c r="W56" s="116">
        <f ca="1">SUMIF('res bld data'!$U$3:$U$282,"="&amp;$B56&amp;$C56&amp;$D56,'res bld data'!M$3:M$282)/SUMIF('res bld data'!$U$3:$U$282,"="&amp;$B56&amp;$C56&amp;$D56,'res bld data'!$S$3:$S$282)</f>
        <v>1</v>
      </c>
      <c r="X56" s="116">
        <f ca="1">SUMIF('res bld data'!$U$3:$U$282,"="&amp;$B56&amp;$C56&amp;$D56,'res bld data'!O$3:O$282)/SUMIF('res bld data'!$U$3:$U$282,"="&amp;$B56&amp;$C56&amp;$D56,'res bld data'!$S$3:$S$282)</f>
        <v>0</v>
      </c>
      <c r="Z56" s="116">
        <f ca="1">IFERROR(SUMIF('res bld data'!$U$3:$U$107,"="&amp;$B56&amp;$C56&amp;$D56,'res bld data'!M$3:M$107)/SUMIF('res bld data'!$U$109:$U$123,"="&amp;$B56&amp;$C56,'res bld data'!M$109:M$123),0)</f>
        <v>0.10998015846805072</v>
      </c>
      <c r="AA56" s="116">
        <f ca="1">IFERROR(SUMIF('res bld data'!$U$3:$U$107,"="&amp;$B56&amp;$C56&amp;$D56,'res bld data'!O$3:O$107)/SUMIF('res bld data'!$U$109:$U$123,"="&amp;$B56&amp;$C56,'res bld data'!O$109:O$123),0)</f>
        <v>0</v>
      </c>
    </row>
    <row r="57" spans="2:27">
      <c r="B57" s="20" t="s">
        <v>9</v>
      </c>
      <c r="C57" s="20" t="s">
        <v>370</v>
      </c>
      <c r="D57" s="20" t="s">
        <v>377</v>
      </c>
      <c r="E57" s="75">
        <f t="shared" ca="1" si="0"/>
        <v>13.745483952486024</v>
      </c>
      <c r="F57" s="75">
        <f t="shared" ca="1" si="1"/>
        <v>33.237968274725098</v>
      </c>
      <c r="G57" s="21">
        <f t="shared" ca="1" si="64"/>
        <v>36903</v>
      </c>
      <c r="H57" s="21">
        <f t="shared" ref="H57:I57" ca="1" si="69">$S57*T57</f>
        <v>1448225.1196786303</v>
      </c>
      <c r="I57" s="21">
        <f t="shared" ca="1" si="69"/>
        <v>1447393.419423522</v>
      </c>
      <c r="J57" s="21"/>
      <c r="R57" s="115"/>
      <c r="S57" s="22">
        <f ca="1">G57/SUMIF('res bld data'!$B$3:$B$14,"="&amp;B57,'res bld data'!$G$3:$G$14)</f>
        <v>0.7934422704794668</v>
      </c>
      <c r="T57" s="21">
        <f>SUMIFS('Projections by County'!$D$10:$D$36,'Projections by County'!$A$10:$A$36,B57,'Projections by County'!$C$10:$C$36,"Electricity (kWh)",'Projections by County'!$B$10:$B$36,"Residential")*BTU_per_kWh/1000000</f>
        <v>1825243.2137293199</v>
      </c>
      <c r="U57" s="21">
        <f>SUMIFS('Projections by County'!$D$10:$D$36,'Projections by County'!$A$10:$A$36,B57,'Projections by County'!$C$10:$C$36,"Natural Gas",'Projections by County'!$B$10:$B$36,"Residential")</f>
        <v>1824194.996</v>
      </c>
      <c r="V57" s="116"/>
      <c r="W57" s="116">
        <f ca="1">SUMIF('res bld data'!$U$3:$U$282,"="&amp;$B57&amp;$C57&amp;$D57,'res bld data'!M$3:M$282)/SUMIF('res bld data'!$U$3:$U$282,"="&amp;$B57&amp;$C57&amp;$D57,'res bld data'!$S$3:$S$282)</f>
        <v>0.19432011300438531</v>
      </c>
      <c r="X57" s="116">
        <f ca="1">SUMIF('res bld data'!$U$3:$U$282,"="&amp;$B57&amp;$C57&amp;$D57,'res bld data'!O$3:O$282)/SUMIF('res bld data'!$U$3:$U$282,"="&amp;$B57&amp;$C57&amp;$D57,'res bld data'!$S$3:$S$282)</f>
        <v>0.80567988699561466</v>
      </c>
      <c r="Z57" s="116">
        <f ca="1">IFERROR(SUMIF('res bld data'!$U$3:$U$107,"="&amp;$B57&amp;$C57&amp;$D57,'res bld data'!M$3:M$107)/SUMIF('res bld data'!$U$109:$U$123,"="&amp;$B57&amp;$C57,'res bld data'!M$109:M$123),0)</f>
        <v>0.35025603920691106</v>
      </c>
      <c r="AA57" s="116">
        <f ca="1">IFERROR(SUMIF('res bld data'!$U$3:$U$107,"="&amp;$B57&amp;$C57&amp;$D57,'res bld data'!O$3:O$107)/SUMIF('res bld data'!$U$109:$U$123,"="&amp;$B57&amp;$C57,'res bld data'!O$109:O$123),0)</f>
        <v>0.84744114957404704</v>
      </c>
    </row>
    <row r="58" spans="2:27">
      <c r="B58" s="20" t="s">
        <v>9</v>
      </c>
      <c r="C58" s="20" t="s">
        <v>370</v>
      </c>
      <c r="D58" s="20" t="s">
        <v>378</v>
      </c>
      <c r="E58" s="75">
        <f t="shared" ca="1" si="0"/>
        <v>2.9509771106353511</v>
      </c>
      <c r="F58" s="75">
        <f t="shared" ca="1" si="1"/>
        <v>4.9894495864755752</v>
      </c>
      <c r="G58" s="21">
        <f t="shared" ca="1" si="64"/>
        <v>36903</v>
      </c>
      <c r="H58" s="21">
        <f t="shared" ref="H58:I58" ca="1" si="70">$S58*T58</f>
        <v>1448225.1196786303</v>
      </c>
      <c r="I58" s="21">
        <f t="shared" ca="1" si="70"/>
        <v>1447393.419423522</v>
      </c>
      <c r="J58" s="21"/>
      <c r="R58" s="115"/>
      <c r="S58" s="22">
        <f ca="1">G58/SUMIF('res bld data'!$B$3:$B$14,"="&amp;B58,'res bld data'!$G$3:$G$14)</f>
        <v>0.7934422704794668</v>
      </c>
      <c r="T58" s="21">
        <f>SUMIFS('Projections by County'!$D$10:$D$36,'Projections by County'!$A$10:$A$36,B58,'Projections by County'!$C$10:$C$36,"Electricity (kWh)",'Projections by County'!$B$10:$B$36,"Residential")*BTU_per_kWh/1000000</f>
        <v>1825243.2137293199</v>
      </c>
      <c r="U58" s="21">
        <f>SUMIFS('Projections by County'!$D$10:$D$36,'Projections by County'!$A$10:$A$36,B58,'Projections by County'!$C$10:$C$36,"Natural Gas",'Projections by County'!$B$10:$B$36,"Residential")</f>
        <v>1824194.996</v>
      </c>
      <c r="V58" s="116"/>
      <c r="W58" s="116">
        <f ca="1">SUMIF('res bld data'!$U$3:$U$282,"="&amp;$B58&amp;$C58&amp;$D58,'res bld data'!M$3:M$282)/SUMIF('res bld data'!$U$3:$U$282,"="&amp;$B58&amp;$C58&amp;$D58,'res bld data'!$S$3:$S$282)</f>
        <v>0.25647210433978113</v>
      </c>
      <c r="X58" s="116">
        <f ca="1">SUMIF('res bld data'!$U$3:$U$282,"="&amp;$B58&amp;$C58&amp;$D58,'res bld data'!O$3:O$282)/SUMIF('res bld data'!$U$3:$U$282,"="&amp;$B58&amp;$C58&amp;$D58,'res bld data'!$S$3:$S$282)</f>
        <v>0.74352789566021882</v>
      </c>
      <c r="Z58" s="116">
        <f ca="1">IFERROR(SUMIF('res bld data'!$U$3:$U$107,"="&amp;$B58&amp;$C58&amp;$D58,'res bld data'!M$3:M$107)/SUMIF('res bld data'!$U$109:$U$123,"="&amp;$B58&amp;$C58,'res bld data'!M$109:M$123),0)</f>
        <v>7.51954284137413E-2</v>
      </c>
      <c r="AA58" s="116">
        <f ca="1">IFERROR(SUMIF('res bld data'!$U$3:$U$107,"="&amp;$B58&amp;$C58&amp;$D58,'res bld data'!O$3:O$107)/SUMIF('res bld data'!$U$109:$U$123,"="&amp;$B58&amp;$C58,'res bld data'!O$109:O$123),0)</f>
        <v>0.12721189389063481</v>
      </c>
    </row>
    <row r="59" spans="2:27">
      <c r="B59" s="20" t="s">
        <v>10</v>
      </c>
      <c r="C59" s="20" t="s">
        <v>366</v>
      </c>
      <c r="D59" s="20" t="s">
        <v>369</v>
      </c>
      <c r="E59" s="75">
        <f t="shared" ca="1" si="0"/>
        <v>1.9954441974219896</v>
      </c>
      <c r="F59" s="75">
        <f t="shared" ca="1" si="1"/>
        <v>0</v>
      </c>
      <c r="G59" s="21">
        <f ca="1">VLOOKUP(B59&amp;C59,'res bld data'!$A$3:$H$37,7,FALSE)</f>
        <v>3530</v>
      </c>
      <c r="H59" s="21">
        <f t="shared" ref="H59:I59" ca="1" si="71">$S59*T59</f>
        <v>124787.07623847655</v>
      </c>
      <c r="I59" s="21">
        <f t="shared" ca="1" si="71"/>
        <v>177769.00527689999</v>
      </c>
      <c r="J59" s="21"/>
      <c r="R59" s="115"/>
      <c r="S59" s="22">
        <f ca="1">G59/SUMIF('res bld data'!$B$3:$B$14,"="&amp;B59,'res bld data'!$G$3:$G$14)</f>
        <v>1.4013719947915013E-2</v>
      </c>
      <c r="T59" s="21">
        <f>SUMIFS('Projections by County'!$D$10:$D$36,'Projections by County'!$A$10:$A$36,B59,'Projections by County'!$C$10:$C$36,"Electricity (kWh)",'Projections by County'!$B$10:$B$36,"Residential")*BTU_per_kWh/1000000</f>
        <v>8904636.0782343596</v>
      </c>
      <c r="U59" s="21">
        <f>SUMIFS('Projections by County'!$D$10:$D$36,'Projections by County'!$A$10:$A$36,B59,'Projections by County'!$C$10:$C$36,"Natural Gas",'Projections by County'!$B$10:$B$36,"Residential")</f>
        <v>12685354.491</v>
      </c>
      <c r="V59" s="116"/>
      <c r="W59" s="116">
        <f ca="1">SUMIF('res bld data'!$U$3:$U$282,"="&amp;$B59&amp;$C59&amp;$D59,'res bld data'!M$3:M$282)/SUMIF('res bld data'!$U$3:$U$282,"="&amp;$B59&amp;$C59&amp;$D59,'res bld data'!$S$3:$S$282)</f>
        <v>1</v>
      </c>
      <c r="X59" s="116">
        <f ca="1">SUMIF('res bld data'!$U$3:$U$282,"="&amp;$B59&amp;$C59&amp;$D59,'res bld data'!O$3:O$282)/SUMIF('res bld data'!$U$3:$U$282,"="&amp;$B59&amp;$C59&amp;$D59,'res bld data'!$S$3:$S$282)</f>
        <v>0</v>
      </c>
      <c r="Z59" s="116">
        <f ca="1">IFERROR(SUMIF('res bld data'!$U$3:$U$107,"="&amp;$B59&amp;$C59&amp;$D59,'res bld data'!M$3:M$107)/SUMIF('res bld data'!$U$109:$U$123,"="&amp;$B59&amp;$C59,'res bld data'!M$109:M$123),0)</f>
        <v>5.6447496241022743E-2</v>
      </c>
      <c r="AA59" s="116">
        <f ca="1">IFERROR(SUMIF('res bld data'!$U$3:$U$107,"="&amp;$B59&amp;$C59&amp;$D59,'res bld data'!O$3:O$107)/SUMIF('res bld data'!$U$109:$U$123,"="&amp;$B59&amp;$C59,'res bld data'!O$109:O$123),0)</f>
        <v>0</v>
      </c>
    </row>
    <row r="60" spans="2:27">
      <c r="B60" s="20" t="s">
        <v>10</v>
      </c>
      <c r="C60" s="20" t="s">
        <v>366</v>
      </c>
      <c r="D60" s="20" t="s">
        <v>372</v>
      </c>
      <c r="E60" s="75">
        <f t="shared" ca="1" si="0"/>
        <v>3.890178230645247</v>
      </c>
      <c r="F60" s="75">
        <f t="shared" ca="1" si="1"/>
        <v>0.61155041500401652</v>
      </c>
      <c r="G60" s="21">
        <f t="shared" ref="G60:G65" ca="1" si="72">G59</f>
        <v>3530</v>
      </c>
      <c r="H60" s="21">
        <f t="shared" ref="H60:I60" ca="1" si="73">$S60*T60</f>
        <v>124787.07623847655</v>
      </c>
      <c r="I60" s="21">
        <f t="shared" ca="1" si="73"/>
        <v>177769.00527689999</v>
      </c>
      <c r="J60" s="21"/>
      <c r="R60" s="115"/>
      <c r="S60" s="22">
        <f ca="1">G60/SUMIF('res bld data'!$B$3:$B$14,"="&amp;B60,'res bld data'!$G$3:$G$14)</f>
        <v>1.4013719947915013E-2</v>
      </c>
      <c r="T60" s="21">
        <f>SUMIFS('Projections by County'!$D$10:$D$36,'Projections by County'!$A$10:$A$36,B60,'Projections by County'!$C$10:$C$36,"Electricity (kWh)",'Projections by County'!$B$10:$B$36,"Residential")*BTU_per_kWh/1000000</f>
        <v>8904636.0782343596</v>
      </c>
      <c r="U60" s="21">
        <f>SUMIFS('Projections by County'!$D$10:$D$36,'Projections by County'!$A$10:$A$36,B60,'Projections by County'!$C$10:$C$36,"Natural Gas",'Projections by County'!$B$10:$B$36,"Residential")</f>
        <v>12685354.491</v>
      </c>
      <c r="V60" s="116"/>
      <c r="W60" s="116">
        <f ca="1">SUMIF('res bld data'!$U$3:$U$282,"="&amp;$B60&amp;$C60&amp;$D60,'res bld data'!M$3:M$282)/SUMIF('res bld data'!$U$3:$U$282,"="&amp;$B60&amp;$C60&amp;$D60,'res bld data'!$S$3:$S$282)</f>
        <v>0.84078293473726828</v>
      </c>
      <c r="X60" s="116">
        <f ca="1">SUMIF('res bld data'!$U$3:$U$282,"="&amp;$B60&amp;$C60&amp;$D60,'res bld data'!O$3:O$282)/SUMIF('res bld data'!$U$3:$U$282,"="&amp;$B60&amp;$C60&amp;$D60,'res bld data'!$S$3:$S$282)</f>
        <v>0.15921706526273177</v>
      </c>
      <c r="Z60" s="116">
        <f ca="1">IFERROR(SUMIF('res bld data'!$U$3:$U$107,"="&amp;$B60&amp;$C60&amp;$D60,'res bld data'!M$3:M$107)/SUMIF('res bld data'!$U$109:$U$123,"="&amp;$B60&amp;$C60,'res bld data'!M$109:M$123),0)</f>
        <v>0.11004608464368787</v>
      </c>
      <c r="AA60" s="116">
        <f ca="1">IFERROR(SUMIF('res bld data'!$U$3:$U$107,"="&amp;$B60&amp;$C60&amp;$D60,'res bld data'!O$3:O$107)/SUMIF('res bld data'!$U$109:$U$123,"="&amp;$B60&amp;$C60,'res bld data'!O$109:O$123),0)</f>
        <v>1.2143697162514852E-2</v>
      </c>
    </row>
    <row r="61" spans="2:27">
      <c r="B61" s="20" t="s">
        <v>10</v>
      </c>
      <c r="C61" s="20" t="s">
        <v>366</v>
      </c>
      <c r="D61" s="20" t="s">
        <v>374</v>
      </c>
      <c r="E61" s="75">
        <f t="shared" ca="1" si="0"/>
        <v>6.0747588837814321</v>
      </c>
      <c r="F61" s="75">
        <f t="shared" ca="1" si="1"/>
        <v>0</v>
      </c>
      <c r="G61" s="21">
        <f t="shared" ca="1" si="72"/>
        <v>3530</v>
      </c>
      <c r="H61" s="21">
        <f t="shared" ref="H61:I61" ca="1" si="74">$S61*T61</f>
        <v>124787.07623847655</v>
      </c>
      <c r="I61" s="21">
        <f t="shared" ca="1" si="74"/>
        <v>177769.00527689999</v>
      </c>
      <c r="J61" s="21"/>
      <c r="R61" s="115"/>
      <c r="S61" s="22">
        <f ca="1">G61/SUMIF('res bld data'!$B$3:$B$14,"="&amp;B61,'res bld data'!$G$3:$G$14)</f>
        <v>1.4013719947915013E-2</v>
      </c>
      <c r="T61" s="21">
        <f>SUMIFS('Projections by County'!$D$10:$D$36,'Projections by County'!$A$10:$A$36,B61,'Projections by County'!$C$10:$C$36,"Electricity (kWh)",'Projections by County'!$B$10:$B$36,"Residential")*BTU_per_kWh/1000000</f>
        <v>8904636.0782343596</v>
      </c>
      <c r="U61" s="21">
        <f>SUMIFS('Projections by County'!$D$10:$D$36,'Projections by County'!$A$10:$A$36,B61,'Projections by County'!$C$10:$C$36,"Natural Gas",'Projections by County'!$B$10:$B$36,"Residential")</f>
        <v>12685354.491</v>
      </c>
      <c r="V61" s="116"/>
      <c r="W61" s="116">
        <f ca="1">SUMIF('res bld data'!$U$3:$U$282,"="&amp;$B61&amp;$C61&amp;$D61,'res bld data'!M$3:M$282)/SUMIF('res bld data'!$U$3:$U$282,"="&amp;$B61&amp;$C61&amp;$D61,'res bld data'!$S$3:$S$282)</f>
        <v>1</v>
      </c>
      <c r="X61" s="116">
        <f ca="1">SUMIF('res bld data'!$U$3:$U$282,"="&amp;$B61&amp;$C61&amp;$D61,'res bld data'!O$3:O$282)/SUMIF('res bld data'!$U$3:$U$282,"="&amp;$B61&amp;$C61&amp;$D61,'res bld data'!$S$3:$S$282)</f>
        <v>0</v>
      </c>
      <c r="Z61" s="116">
        <f ca="1">IFERROR(SUMIF('res bld data'!$U$3:$U$107,"="&amp;$B61&amp;$C61&amp;$D61,'res bld data'!M$3:M$107)/SUMIF('res bld data'!$U$109:$U$123,"="&amp;$B61&amp;$C61,'res bld data'!M$109:M$123),0)</f>
        <v>0.17184390808842828</v>
      </c>
      <c r="AA61" s="116">
        <f ca="1">IFERROR(SUMIF('res bld data'!$U$3:$U$107,"="&amp;$B61&amp;$C61&amp;$D61,'res bld data'!O$3:O$107)/SUMIF('res bld data'!$U$109:$U$123,"="&amp;$B61&amp;$C61,'res bld data'!O$109:O$123),0)</f>
        <v>0</v>
      </c>
    </row>
    <row r="62" spans="2:27">
      <c r="B62" s="20" t="s">
        <v>10</v>
      </c>
      <c r="C62" s="20" t="s">
        <v>366</v>
      </c>
      <c r="D62" s="20" t="s">
        <v>375</v>
      </c>
      <c r="E62" s="75">
        <f t="shared" ca="1" si="0"/>
        <v>2.368526154388229</v>
      </c>
      <c r="F62" s="75">
        <f t="shared" ca="1" si="1"/>
        <v>0</v>
      </c>
      <c r="G62" s="21">
        <f t="shared" ca="1" si="72"/>
        <v>3530</v>
      </c>
      <c r="H62" s="21">
        <f t="shared" ref="H62:I62" ca="1" si="75">$S62*T62</f>
        <v>124787.07623847655</v>
      </c>
      <c r="I62" s="21">
        <f t="shared" ca="1" si="75"/>
        <v>177769.00527689999</v>
      </c>
      <c r="J62" s="21"/>
      <c r="R62" s="115"/>
      <c r="S62" s="22">
        <f ca="1">G62/SUMIF('res bld data'!$B$3:$B$14,"="&amp;B62,'res bld data'!$G$3:$G$14)</f>
        <v>1.4013719947915013E-2</v>
      </c>
      <c r="T62" s="21">
        <f>SUMIFS('Projections by County'!$D$10:$D$36,'Projections by County'!$A$10:$A$36,B62,'Projections by County'!$C$10:$C$36,"Electricity (kWh)",'Projections by County'!$B$10:$B$36,"Residential")*BTU_per_kWh/1000000</f>
        <v>8904636.0782343596</v>
      </c>
      <c r="U62" s="21">
        <f>SUMIFS('Projections by County'!$D$10:$D$36,'Projections by County'!$A$10:$A$36,B62,'Projections by County'!$C$10:$C$36,"Natural Gas",'Projections by County'!$B$10:$B$36,"Residential")</f>
        <v>12685354.491</v>
      </c>
      <c r="V62" s="116"/>
      <c r="W62" s="116">
        <f ca="1">SUMIF('res bld data'!$U$3:$U$282,"="&amp;$B62&amp;$C62&amp;$D62,'res bld data'!M$3:M$282)/SUMIF('res bld data'!$U$3:$U$282,"="&amp;$B62&amp;$C62&amp;$D62,'res bld data'!$S$3:$S$282)</f>
        <v>1</v>
      </c>
      <c r="X62" s="116">
        <f ca="1">SUMIF('res bld data'!$U$3:$U$282,"="&amp;$B62&amp;$C62&amp;$D62,'res bld data'!O$3:O$282)/SUMIF('res bld data'!$U$3:$U$282,"="&amp;$B62&amp;$C62&amp;$D62,'res bld data'!$S$3:$S$282)</f>
        <v>0</v>
      </c>
      <c r="Z62" s="116">
        <f ca="1">IFERROR(SUMIF('res bld data'!$U$3:$U$107,"="&amp;$B62&amp;$C62&amp;$D62,'res bld data'!M$3:M$107)/SUMIF('res bld data'!$U$109:$U$123,"="&amp;$B62&amp;$C62,'res bld data'!M$109:M$123),0)</f>
        <v>6.7001307964073192E-2</v>
      </c>
      <c r="AA62" s="116">
        <f ca="1">IFERROR(SUMIF('res bld data'!$U$3:$U$107,"="&amp;$B62&amp;$C62&amp;$D62,'res bld data'!O$3:O$107)/SUMIF('res bld data'!$U$109:$U$123,"="&amp;$B62&amp;$C62,'res bld data'!O$109:O$123),0)</f>
        <v>0</v>
      </c>
    </row>
    <row r="63" spans="2:27">
      <c r="B63" s="20" t="s">
        <v>10</v>
      </c>
      <c r="C63" s="20" t="s">
        <v>366</v>
      </c>
      <c r="D63" s="20" t="s">
        <v>376</v>
      </c>
      <c r="E63" s="75">
        <f t="shared" ca="1" si="0"/>
        <v>4.353286492760744</v>
      </c>
      <c r="F63" s="75">
        <f t="shared" ca="1" si="1"/>
        <v>0</v>
      </c>
      <c r="G63" s="21">
        <f t="shared" ca="1" si="72"/>
        <v>3530</v>
      </c>
      <c r="H63" s="21">
        <f t="shared" ref="H63:I63" ca="1" si="76">$S63*T63</f>
        <v>124787.07623847655</v>
      </c>
      <c r="I63" s="21">
        <f t="shared" ca="1" si="76"/>
        <v>177769.00527689999</v>
      </c>
      <c r="J63" s="21"/>
      <c r="R63" s="115"/>
      <c r="S63" s="22">
        <f ca="1">G63/SUMIF('res bld data'!$B$3:$B$14,"="&amp;B63,'res bld data'!$G$3:$G$14)</f>
        <v>1.4013719947915013E-2</v>
      </c>
      <c r="T63" s="21">
        <f>SUMIFS('Projections by County'!$D$10:$D$36,'Projections by County'!$A$10:$A$36,B63,'Projections by County'!$C$10:$C$36,"Electricity (kWh)",'Projections by County'!$B$10:$B$36,"Residential")*BTU_per_kWh/1000000</f>
        <v>8904636.0782343596</v>
      </c>
      <c r="U63" s="21">
        <f>SUMIFS('Projections by County'!$D$10:$D$36,'Projections by County'!$A$10:$A$36,B63,'Projections by County'!$C$10:$C$36,"Natural Gas",'Projections by County'!$B$10:$B$36,"Residential")</f>
        <v>12685354.491</v>
      </c>
      <c r="V63" s="116"/>
      <c r="W63" s="116">
        <f ca="1">SUMIF('res bld data'!$U$3:$U$282,"="&amp;$B63&amp;$C63&amp;$D63,'res bld data'!M$3:M$282)/SUMIF('res bld data'!$U$3:$U$282,"="&amp;$B63&amp;$C63&amp;$D63,'res bld data'!$S$3:$S$282)</f>
        <v>1</v>
      </c>
      <c r="X63" s="116">
        <f ca="1">SUMIF('res bld data'!$U$3:$U$282,"="&amp;$B63&amp;$C63&amp;$D63,'res bld data'!O$3:O$282)/SUMIF('res bld data'!$U$3:$U$282,"="&amp;$B63&amp;$C63&amp;$D63,'res bld data'!$S$3:$S$282)</f>
        <v>0</v>
      </c>
      <c r="Z63" s="116">
        <f ca="1">IFERROR(SUMIF('res bld data'!$U$3:$U$107,"="&amp;$B63&amp;$C63&amp;$D63,'res bld data'!M$3:M$107)/SUMIF('res bld data'!$U$109:$U$123,"="&amp;$B63&amp;$C63,'res bld data'!M$109:M$123),0)</f>
        <v>0.12314657721507838</v>
      </c>
      <c r="AA63" s="116">
        <f ca="1">IFERROR(SUMIF('res bld data'!$U$3:$U$107,"="&amp;$B63&amp;$C63&amp;$D63,'res bld data'!O$3:O$107)/SUMIF('res bld data'!$U$109:$U$123,"="&amp;$B63&amp;$C63,'res bld data'!O$109:O$123),0)</f>
        <v>0</v>
      </c>
    </row>
    <row r="64" spans="2:27">
      <c r="B64" s="20" t="s">
        <v>10</v>
      </c>
      <c r="C64" s="20" t="s">
        <v>366</v>
      </c>
      <c r="D64" s="20" t="s">
        <v>377</v>
      </c>
      <c r="E64" s="75">
        <f t="shared" ca="1" si="0"/>
        <v>14.192095270702691</v>
      </c>
      <c r="F64" s="75">
        <f t="shared" ca="1" si="1"/>
        <v>43.179114921363826</v>
      </c>
      <c r="G64" s="21">
        <f t="shared" ca="1" si="72"/>
        <v>3530</v>
      </c>
      <c r="H64" s="21">
        <f t="shared" ref="H64:I64" ca="1" si="77">$S64*T64</f>
        <v>124787.07623847655</v>
      </c>
      <c r="I64" s="21">
        <f t="shared" ca="1" si="77"/>
        <v>177769.00527689999</v>
      </c>
      <c r="J64" s="21"/>
      <c r="R64" s="115"/>
      <c r="S64" s="22">
        <f ca="1">G64/SUMIF('res bld data'!$B$3:$B$14,"="&amp;B64,'res bld data'!$G$3:$G$14)</f>
        <v>1.4013719947915013E-2</v>
      </c>
      <c r="T64" s="21">
        <f>SUMIFS('Projections by County'!$D$10:$D$36,'Projections by County'!$A$10:$A$36,B64,'Projections by County'!$C$10:$C$36,"Electricity (kWh)",'Projections by County'!$B$10:$B$36,"Residential")*BTU_per_kWh/1000000</f>
        <v>8904636.0782343596</v>
      </c>
      <c r="U64" s="21">
        <f>SUMIFS('Projections by County'!$D$10:$D$36,'Projections by County'!$A$10:$A$36,B64,'Projections by County'!$C$10:$C$36,"Natural Gas",'Projections by County'!$B$10:$B$36,"Residential")</f>
        <v>12685354.491</v>
      </c>
      <c r="V64" s="116"/>
      <c r="W64" s="116">
        <f ca="1">SUMIF('res bld data'!$U$3:$U$282,"="&amp;$B64&amp;$C64&amp;$D64,'res bld data'!M$3:M$282)/SUMIF('res bld data'!$U$3:$U$282,"="&amp;$B64&amp;$C64&amp;$D64,'res bld data'!$S$3:$S$282)</f>
        <v>0.21436374602920485</v>
      </c>
      <c r="X64" s="116">
        <f ca="1">SUMIF('res bld data'!$U$3:$U$282,"="&amp;$B64&amp;$C64&amp;$D64,'res bld data'!O$3:O$282)/SUMIF('res bld data'!$U$3:$U$282,"="&amp;$B64&amp;$C64&amp;$D64,'res bld data'!$S$3:$S$282)</f>
        <v>0.78563625397079517</v>
      </c>
      <c r="Z64" s="116">
        <f ca="1">IFERROR(SUMIF('res bld data'!$U$3:$U$107,"="&amp;$B64&amp;$C64&amp;$D64,'res bld data'!M$3:M$107)/SUMIF('res bld data'!$U$109:$U$123,"="&amp;$B64&amp;$C64,'res bld data'!M$109:M$123),0)</f>
        <v>0.40146862812812156</v>
      </c>
      <c r="AA64" s="116">
        <f ca="1">IFERROR(SUMIF('res bld data'!$U$3:$U$107,"="&amp;$B64&amp;$C64&amp;$D64,'res bld data'!O$3:O$107)/SUMIF('res bld data'!$U$109:$U$123,"="&amp;$B64&amp;$C64,'res bld data'!O$109:O$123),0)</f>
        <v>0.85741761020148244</v>
      </c>
    </row>
    <row r="65" spans="2:27">
      <c r="B65" s="20" t="s">
        <v>10</v>
      </c>
      <c r="C65" s="20" t="s">
        <v>366</v>
      </c>
      <c r="D65" s="20" t="s">
        <v>378</v>
      </c>
      <c r="E65" s="75">
        <f t="shared" ca="1" si="0"/>
        <v>2.4761572967802787</v>
      </c>
      <c r="F65" s="75">
        <f t="shared" ca="1" si="1"/>
        <v>6.5688262434905091</v>
      </c>
      <c r="G65" s="21">
        <f t="shared" ca="1" si="72"/>
        <v>3530</v>
      </c>
      <c r="H65" s="21">
        <f t="shared" ref="H65:I65" ca="1" si="78">$S65*T65</f>
        <v>124787.07623847655</v>
      </c>
      <c r="I65" s="21">
        <f t="shared" ca="1" si="78"/>
        <v>177769.00527689999</v>
      </c>
      <c r="J65" s="21"/>
      <c r="R65" s="115"/>
      <c r="S65" s="22">
        <f ca="1">G65/SUMIF('res bld data'!$B$3:$B$14,"="&amp;B65,'res bld data'!$G$3:$G$14)</f>
        <v>1.4013719947915013E-2</v>
      </c>
      <c r="T65" s="21">
        <f>SUMIFS('Projections by County'!$D$10:$D$36,'Projections by County'!$A$10:$A$36,B65,'Projections by County'!$C$10:$C$36,"Electricity (kWh)",'Projections by County'!$B$10:$B$36,"Residential")*BTU_per_kWh/1000000</f>
        <v>8904636.0782343596</v>
      </c>
      <c r="U65" s="21">
        <f>SUMIFS('Projections by County'!$D$10:$D$36,'Projections by County'!$A$10:$A$36,B65,'Projections by County'!$C$10:$C$36,"Natural Gas",'Projections by County'!$B$10:$B$36,"Residential")</f>
        <v>12685354.491</v>
      </c>
      <c r="V65" s="116"/>
      <c r="W65" s="116">
        <f ca="1">SUMIF('res bld data'!$U$3:$U$282,"="&amp;$B65&amp;$C65&amp;$D65,'res bld data'!M$3:M$282)/SUMIF('res bld data'!$U$3:$U$282,"="&amp;$B65&amp;$C65&amp;$D65,'res bld data'!$S$3:$S$282)</f>
        <v>0.2383448941456312</v>
      </c>
      <c r="X65" s="116">
        <f ca="1">SUMIF('res bld data'!$U$3:$U$282,"="&amp;$B65&amp;$C65&amp;$D65,'res bld data'!O$3:O$282)/SUMIF('res bld data'!$U$3:$U$282,"="&amp;$B65&amp;$C65&amp;$D65,'res bld data'!$S$3:$S$282)</f>
        <v>0.7616551058543688</v>
      </c>
      <c r="Z65" s="116">
        <f ca="1">IFERROR(SUMIF('res bld data'!$U$3:$U$107,"="&amp;$B65&amp;$C65&amp;$D65,'res bld data'!M$3:M$107)/SUMIF('res bld data'!$U$109:$U$123,"="&amp;$B65&amp;$C65,'res bld data'!M$109:M$123),0)</f>
        <v>7.0045997719588013E-2</v>
      </c>
      <c r="AA65" s="116">
        <f ca="1">IFERROR(SUMIF('res bld data'!$U$3:$U$107,"="&amp;$B65&amp;$C65&amp;$D65,'res bld data'!O$3:O$107)/SUMIF('res bld data'!$U$109:$U$123,"="&amp;$B65&amp;$C65,'res bld data'!O$109:O$123),0)</f>
        <v>0.13043869263600269</v>
      </c>
    </row>
    <row r="66" spans="2:27">
      <c r="B66" s="20" t="s">
        <v>10</v>
      </c>
      <c r="C66" s="20" t="s">
        <v>371</v>
      </c>
      <c r="D66" s="20" t="s">
        <v>369</v>
      </c>
      <c r="E66" s="75">
        <f t="shared" ca="1" si="0"/>
        <v>2.9248413009060599</v>
      </c>
      <c r="F66" s="75">
        <f t="shared" ca="1" si="1"/>
        <v>2.7873940655262393E-2</v>
      </c>
      <c r="G66" s="21">
        <f ca="1">VLOOKUP(B66&amp;C66,'res bld data'!$A$3:$H$37,7,FALSE)</f>
        <v>60947</v>
      </c>
      <c r="H66" s="21">
        <f t="shared" ref="H66:I66" ca="1" si="79">$S66*T66</f>
        <v>2154503.6644494138</v>
      </c>
      <c r="I66" s="21">
        <f t="shared" ca="1" si="79"/>
        <v>3069259.9333176273</v>
      </c>
      <c r="J66" s="21"/>
      <c r="R66" s="115"/>
      <c r="S66" s="22">
        <f ca="1">G66/SUMIF('res bld data'!$B$3:$B$14,"="&amp;B66,'res bld data'!$G$3:$G$14)</f>
        <v>0.2419530282338743</v>
      </c>
      <c r="T66" s="21">
        <f>SUMIFS('Projections by County'!$D$10:$D$36,'Projections by County'!$A$10:$A$36,B66,'Projections by County'!$C$10:$C$36,"Electricity (kWh)",'Projections by County'!$B$10:$B$36,"Residential")*BTU_per_kWh/1000000</f>
        <v>8904636.0782343596</v>
      </c>
      <c r="U66" s="21">
        <f>SUMIFS('Projections by County'!$D$10:$D$36,'Projections by County'!$A$10:$A$36,B66,'Projections by County'!$C$10:$C$36,"Natural Gas",'Projections by County'!$B$10:$B$36,"Residential")</f>
        <v>12685354.491</v>
      </c>
      <c r="V66" s="116"/>
      <c r="W66" s="116">
        <f ca="1">SUMIF('res bld data'!$U$3:$U$282,"="&amp;$B66&amp;$C66&amp;$D66,'res bld data'!M$3:M$282)/SUMIF('res bld data'!$U$3:$U$282,"="&amp;$B66&amp;$C66&amp;$D66,'res bld data'!$S$3:$S$282)</f>
        <v>0.99396857532656335</v>
      </c>
      <c r="X66" s="116">
        <f ca="1">SUMIF('res bld data'!$U$3:$U$282,"="&amp;$B66&amp;$C66&amp;$D66,'res bld data'!O$3:O$282)/SUMIF('res bld data'!$U$3:$U$282,"="&amp;$B66&amp;$C66&amp;$D66,'res bld data'!$S$3:$S$282)</f>
        <v>6.031424673436642E-3</v>
      </c>
      <c r="Z66" s="116">
        <f ca="1">IFERROR(SUMIF('res bld data'!$U$3:$U$107,"="&amp;$B66&amp;$C66&amp;$D66,'res bld data'!M$3:M$107)/SUMIF('res bld data'!$U$109:$U$123,"="&amp;$B66&amp;$C66,'res bld data'!M$109:M$123),0)</f>
        <v>8.2738454200715544E-2</v>
      </c>
      <c r="AA66" s="116">
        <f ca="1">IFERROR(SUMIF('res bld data'!$U$3:$U$107,"="&amp;$B66&amp;$C66&amp;$D66,'res bld data'!O$3:O$107)/SUMIF('res bld data'!$U$109:$U$123,"="&amp;$B66&amp;$C66,'res bld data'!O$109:O$123),0)</f>
        <v>5.5349924673208533E-4</v>
      </c>
    </row>
    <row r="67" spans="2:27">
      <c r="B67" s="20" t="s">
        <v>10</v>
      </c>
      <c r="C67" s="20" t="s">
        <v>371</v>
      </c>
      <c r="D67" s="20" t="s">
        <v>372</v>
      </c>
      <c r="E67" s="75">
        <f t="shared" ca="1" si="0"/>
        <v>3.9795558467037027</v>
      </c>
      <c r="F67" s="75">
        <f t="shared" ca="1" si="1"/>
        <v>1.0109962256509577</v>
      </c>
      <c r="G67" s="21">
        <f t="shared" ref="G67:G72" ca="1" si="80">G66</f>
        <v>60947</v>
      </c>
      <c r="H67" s="21">
        <f t="shared" ref="H67:I67" ca="1" si="81">$S67*T67</f>
        <v>2154503.6644494138</v>
      </c>
      <c r="I67" s="21">
        <f t="shared" ca="1" si="81"/>
        <v>3069259.9333176273</v>
      </c>
      <c r="J67" s="21"/>
      <c r="R67" s="115"/>
      <c r="S67" s="22">
        <f ca="1">G67/SUMIF('res bld data'!$B$3:$B$14,"="&amp;B67,'res bld data'!$G$3:$G$14)</f>
        <v>0.2419530282338743</v>
      </c>
      <c r="T67" s="21">
        <f>SUMIFS('Projections by County'!$D$10:$D$36,'Projections by County'!$A$10:$A$36,B67,'Projections by County'!$C$10:$C$36,"Electricity (kWh)",'Projections by County'!$B$10:$B$36,"Residential")*BTU_per_kWh/1000000</f>
        <v>8904636.0782343596</v>
      </c>
      <c r="U67" s="21">
        <f>SUMIFS('Projections by County'!$D$10:$D$36,'Projections by County'!$A$10:$A$36,B67,'Projections by County'!$C$10:$C$36,"Natural Gas",'Projections by County'!$B$10:$B$36,"Residential")</f>
        <v>12685354.491</v>
      </c>
      <c r="V67" s="116"/>
      <c r="W67" s="116">
        <f ca="1">SUMIF('res bld data'!$U$3:$U$282,"="&amp;$B67&amp;$C67&amp;$D67,'res bld data'!M$3:M$282)/SUMIF('res bld data'!$U$3:$U$282,"="&amp;$B67&amp;$C67&amp;$D67,'res bld data'!$S$3:$S$282)</f>
        <v>0.86076436511764221</v>
      </c>
      <c r="X67" s="116">
        <f ca="1">SUMIF('res bld data'!$U$3:$U$282,"="&amp;$B67&amp;$C67&amp;$D67,'res bld data'!O$3:O$282)/SUMIF('res bld data'!$U$3:$U$282,"="&amp;$B67&amp;$C67&amp;$D67,'res bld data'!$S$3:$S$282)</f>
        <v>0.13923563488235777</v>
      </c>
      <c r="Z67" s="116">
        <f ca="1">IFERROR(SUMIF('res bld data'!$U$3:$U$107,"="&amp;$B67&amp;$C67&amp;$D67,'res bld data'!M$3:M$107)/SUMIF('res bld data'!$U$109:$U$123,"="&amp;$B67&amp;$C67,'res bld data'!M$109:M$123),0)</f>
        <v>0.11257441525449087</v>
      </c>
      <c r="AA67" s="116">
        <f ca="1">IFERROR(SUMIF('res bld data'!$U$3:$U$107,"="&amp;$B67&amp;$C67&amp;$D67,'res bld data'!O$3:O$107)/SUMIF('res bld data'!$U$109:$U$123,"="&amp;$B67&amp;$C67,'res bld data'!O$109:O$123),0)</f>
        <v>2.0075584441668844E-2</v>
      </c>
    </row>
    <row r="68" spans="2:27">
      <c r="B68" s="20" t="s">
        <v>10</v>
      </c>
      <c r="C68" s="20" t="s">
        <v>371</v>
      </c>
      <c r="D68" s="20" t="s">
        <v>374</v>
      </c>
      <c r="E68" s="75">
        <f t="shared" ca="1" si="0"/>
        <v>5.2253116140792777</v>
      </c>
      <c r="F68" s="75">
        <f t="shared" ca="1" si="1"/>
        <v>0</v>
      </c>
      <c r="G68" s="21">
        <f t="shared" ca="1" si="80"/>
        <v>60947</v>
      </c>
      <c r="H68" s="21">
        <f t="shared" ref="H68:I68" ca="1" si="82">$S68*T68</f>
        <v>2154503.6644494138</v>
      </c>
      <c r="I68" s="21">
        <f t="shared" ca="1" si="82"/>
        <v>3069259.9333176273</v>
      </c>
      <c r="J68" s="21"/>
      <c r="R68" s="115"/>
      <c r="S68" s="22">
        <f ca="1">G68/SUMIF('res bld data'!$B$3:$B$14,"="&amp;B68,'res bld data'!$G$3:$G$14)</f>
        <v>0.2419530282338743</v>
      </c>
      <c r="T68" s="21">
        <f>SUMIFS('Projections by County'!$D$10:$D$36,'Projections by County'!$A$10:$A$36,B68,'Projections by County'!$C$10:$C$36,"Electricity (kWh)",'Projections by County'!$B$10:$B$36,"Residential")*BTU_per_kWh/1000000</f>
        <v>8904636.0782343596</v>
      </c>
      <c r="U68" s="21">
        <f>SUMIFS('Projections by County'!$D$10:$D$36,'Projections by County'!$A$10:$A$36,B68,'Projections by County'!$C$10:$C$36,"Natural Gas",'Projections by County'!$B$10:$B$36,"Residential")</f>
        <v>12685354.491</v>
      </c>
      <c r="V68" s="116"/>
      <c r="W68" s="116">
        <f ca="1">SUMIF('res bld data'!$U$3:$U$282,"="&amp;$B68&amp;$C68&amp;$D68,'res bld data'!M$3:M$282)/SUMIF('res bld data'!$U$3:$U$282,"="&amp;$B68&amp;$C68&amp;$D68,'res bld data'!$S$3:$S$282)</f>
        <v>1</v>
      </c>
      <c r="X68" s="116">
        <f ca="1">SUMIF('res bld data'!$U$3:$U$282,"="&amp;$B68&amp;$C68&amp;$D68,'res bld data'!O$3:O$282)/SUMIF('res bld data'!$U$3:$U$282,"="&amp;$B68&amp;$C68&amp;$D68,'res bld data'!$S$3:$S$282)</f>
        <v>0</v>
      </c>
      <c r="Z68" s="116">
        <f ca="1">IFERROR(SUMIF('res bld data'!$U$3:$U$107,"="&amp;$B68&amp;$C68&amp;$D68,'res bld data'!M$3:M$107)/SUMIF('res bld data'!$U$109:$U$123,"="&amp;$B68&amp;$C68,'res bld data'!M$109:M$123),0)</f>
        <v>0.14781458588267213</v>
      </c>
      <c r="AA68" s="116">
        <f ca="1">IFERROR(SUMIF('res bld data'!$U$3:$U$107,"="&amp;$B68&amp;$C68&amp;$D68,'res bld data'!O$3:O$107)/SUMIF('res bld data'!$U$109:$U$123,"="&amp;$B68&amp;$C68,'res bld data'!O$109:O$123),0)</f>
        <v>0</v>
      </c>
    </row>
    <row r="69" spans="2:27">
      <c r="B69" s="20" t="s">
        <v>10</v>
      </c>
      <c r="C69" s="20" t="s">
        <v>371</v>
      </c>
      <c r="D69" s="20" t="s">
        <v>375</v>
      </c>
      <c r="E69" s="75">
        <f t="shared" ca="1" si="0"/>
        <v>1.0708653705056941</v>
      </c>
      <c r="F69" s="75">
        <f t="shared" ca="1" si="1"/>
        <v>0</v>
      </c>
      <c r="G69" s="21">
        <f t="shared" ca="1" si="80"/>
        <v>60947</v>
      </c>
      <c r="H69" s="21">
        <f t="shared" ref="H69:I69" ca="1" si="83">$S69*T69</f>
        <v>2154503.6644494138</v>
      </c>
      <c r="I69" s="21">
        <f t="shared" ca="1" si="83"/>
        <v>3069259.9333176273</v>
      </c>
      <c r="J69" s="21"/>
      <c r="R69" s="115"/>
      <c r="S69" s="22">
        <f ca="1">G69/SUMIF('res bld data'!$B$3:$B$14,"="&amp;B69,'res bld data'!$G$3:$G$14)</f>
        <v>0.2419530282338743</v>
      </c>
      <c r="T69" s="21">
        <f>SUMIFS('Projections by County'!$D$10:$D$36,'Projections by County'!$A$10:$A$36,B69,'Projections by County'!$C$10:$C$36,"Electricity (kWh)",'Projections by County'!$B$10:$B$36,"Residential")*BTU_per_kWh/1000000</f>
        <v>8904636.0782343596</v>
      </c>
      <c r="U69" s="21">
        <f>SUMIFS('Projections by County'!$D$10:$D$36,'Projections by County'!$A$10:$A$36,B69,'Projections by County'!$C$10:$C$36,"Natural Gas",'Projections by County'!$B$10:$B$36,"Residential")</f>
        <v>12685354.491</v>
      </c>
      <c r="V69" s="116"/>
      <c r="W69" s="116">
        <f ca="1">SUMIF('res bld data'!$U$3:$U$282,"="&amp;$B69&amp;$C69&amp;$D69,'res bld data'!M$3:M$282)/SUMIF('res bld data'!$U$3:$U$282,"="&amp;$B69&amp;$C69&amp;$D69,'res bld data'!$S$3:$S$282)</f>
        <v>1</v>
      </c>
      <c r="X69" s="116">
        <f ca="1">SUMIF('res bld data'!$U$3:$U$282,"="&amp;$B69&amp;$C69&amp;$D69,'res bld data'!O$3:O$282)/SUMIF('res bld data'!$U$3:$U$282,"="&amp;$B69&amp;$C69&amp;$D69,'res bld data'!$S$3:$S$282)</f>
        <v>0</v>
      </c>
      <c r="Z69" s="116">
        <f ca="1">IFERROR(SUMIF('res bld data'!$U$3:$U$107,"="&amp;$B69&amp;$C69&amp;$D69,'res bld data'!M$3:M$107)/SUMIF('res bld data'!$U$109:$U$123,"="&amp;$B69&amp;$C69,'res bld data'!M$109:M$123),0)</f>
        <v>3.0292838584189349E-2</v>
      </c>
      <c r="AA69" s="116">
        <f ca="1">IFERROR(SUMIF('res bld data'!$U$3:$U$107,"="&amp;$B69&amp;$C69&amp;$D69,'res bld data'!O$3:O$107)/SUMIF('res bld data'!$U$109:$U$123,"="&amp;$B69&amp;$C69,'res bld data'!O$109:O$123),0)</f>
        <v>0</v>
      </c>
    </row>
    <row r="70" spans="2:27">
      <c r="B70" s="20" t="s">
        <v>10</v>
      </c>
      <c r="C70" s="20" t="s">
        <v>371</v>
      </c>
      <c r="D70" s="20" t="s">
        <v>376</v>
      </c>
      <c r="E70" s="75">
        <f t="shared" ca="1" si="0"/>
        <v>3.509091427654988</v>
      </c>
      <c r="F70" s="75">
        <f t="shared" ca="1" si="1"/>
        <v>0</v>
      </c>
      <c r="G70" s="21">
        <f t="shared" ca="1" si="80"/>
        <v>60947</v>
      </c>
      <c r="H70" s="21">
        <f t="shared" ref="H70:I70" ca="1" si="84">$S70*T70</f>
        <v>2154503.6644494138</v>
      </c>
      <c r="I70" s="21">
        <f t="shared" ca="1" si="84"/>
        <v>3069259.9333176273</v>
      </c>
      <c r="J70" s="21"/>
      <c r="R70" s="115"/>
      <c r="S70" s="22">
        <f ca="1">G70/SUMIF('res bld data'!$B$3:$B$14,"="&amp;B70,'res bld data'!$G$3:$G$14)</f>
        <v>0.2419530282338743</v>
      </c>
      <c r="T70" s="21">
        <f>SUMIFS('Projections by County'!$D$10:$D$36,'Projections by County'!$A$10:$A$36,B70,'Projections by County'!$C$10:$C$36,"Electricity (kWh)",'Projections by County'!$B$10:$B$36,"Residential")*BTU_per_kWh/1000000</f>
        <v>8904636.0782343596</v>
      </c>
      <c r="U70" s="21">
        <f>SUMIFS('Projections by County'!$D$10:$D$36,'Projections by County'!$A$10:$A$36,B70,'Projections by County'!$C$10:$C$36,"Natural Gas",'Projections by County'!$B$10:$B$36,"Residential")</f>
        <v>12685354.491</v>
      </c>
      <c r="V70" s="116"/>
      <c r="W70" s="116">
        <f ca="1">SUMIF('res bld data'!$U$3:$U$282,"="&amp;$B70&amp;$C70&amp;$D70,'res bld data'!M$3:M$282)/SUMIF('res bld data'!$U$3:$U$282,"="&amp;$B70&amp;$C70&amp;$D70,'res bld data'!$S$3:$S$282)</f>
        <v>1</v>
      </c>
      <c r="X70" s="116">
        <f ca="1">SUMIF('res bld data'!$U$3:$U$282,"="&amp;$B70&amp;$C70&amp;$D70,'res bld data'!O$3:O$282)/SUMIF('res bld data'!$U$3:$U$282,"="&amp;$B70&amp;$C70&amp;$D70,'res bld data'!$S$3:$S$282)</f>
        <v>0</v>
      </c>
      <c r="Z70" s="116">
        <f ca="1">IFERROR(SUMIF('res bld data'!$U$3:$U$107,"="&amp;$B70&amp;$C70&amp;$D70,'res bld data'!M$3:M$107)/SUMIF('res bld data'!$U$109:$U$123,"="&amp;$B70&amp;$C70,'res bld data'!M$109:M$123),0)</f>
        <v>9.9265830348885933E-2</v>
      </c>
      <c r="AA70" s="116">
        <f ca="1">IFERROR(SUMIF('res bld data'!$U$3:$U$107,"="&amp;$B70&amp;$C70&amp;$D70,'res bld data'!O$3:O$107)/SUMIF('res bld data'!$U$109:$U$123,"="&amp;$B70&amp;$C70,'res bld data'!O$109:O$123),0)</f>
        <v>0</v>
      </c>
    </row>
    <row r="71" spans="2:27">
      <c r="B71" s="20" t="s">
        <v>10</v>
      </c>
      <c r="C71" s="20" t="s">
        <v>371</v>
      </c>
      <c r="D71" s="20" t="s">
        <v>377</v>
      </c>
      <c r="E71" s="75">
        <f t="shared" ca="1" si="0"/>
        <v>15.316246746430805</v>
      </c>
      <c r="F71" s="75">
        <f t="shared" ca="1" si="1"/>
        <v>37.477833386864766</v>
      </c>
      <c r="G71" s="21">
        <f t="shared" ca="1" si="80"/>
        <v>60947</v>
      </c>
      <c r="H71" s="21">
        <f t="shared" ref="H71:I71" ca="1" si="85">$S71*T71</f>
        <v>2154503.6644494138</v>
      </c>
      <c r="I71" s="21">
        <f t="shared" ca="1" si="85"/>
        <v>3069259.9333176273</v>
      </c>
      <c r="J71" s="21"/>
      <c r="R71" s="115"/>
      <c r="S71" s="22">
        <f ca="1">G71/SUMIF('res bld data'!$B$3:$B$14,"="&amp;B71,'res bld data'!$G$3:$G$14)</f>
        <v>0.2419530282338743</v>
      </c>
      <c r="T71" s="21">
        <f>SUMIFS('Projections by County'!$D$10:$D$36,'Projections by County'!$A$10:$A$36,B71,'Projections by County'!$C$10:$C$36,"Electricity (kWh)",'Projections by County'!$B$10:$B$36,"Residential")*BTU_per_kWh/1000000</f>
        <v>8904636.0782343596</v>
      </c>
      <c r="U71" s="21">
        <f>SUMIFS('Projections by County'!$D$10:$D$36,'Projections by County'!$A$10:$A$36,B71,'Projections by County'!$C$10:$C$36,"Natural Gas",'Projections by County'!$B$10:$B$36,"Residential")</f>
        <v>12685354.491</v>
      </c>
      <c r="V71" s="116"/>
      <c r="W71" s="116">
        <f ca="1">SUMIF('res bld data'!$U$3:$U$282,"="&amp;$B71&amp;$C71&amp;$D71,'res bld data'!M$3:M$282)/SUMIF('res bld data'!$U$3:$U$282,"="&amp;$B71&amp;$C71&amp;$D71,'res bld data'!$S$3:$S$282)</f>
        <v>0.39092720262372271</v>
      </c>
      <c r="X71" s="116">
        <f ca="1">SUMIF('res bld data'!$U$3:$U$282,"="&amp;$B71&amp;$C71&amp;$D71,'res bld data'!O$3:O$282)/SUMIF('res bld data'!$U$3:$U$282,"="&amp;$B71&amp;$C71&amp;$D71,'res bld data'!$S$3:$S$282)</f>
        <v>0.60907279737627729</v>
      </c>
      <c r="Z71" s="116">
        <f ca="1">IFERROR(SUMIF('res bld data'!$U$3:$U$107,"="&amp;$B71&amp;$C71&amp;$D71,'res bld data'!M$3:M$107)/SUMIF('res bld data'!$U$109:$U$123,"="&amp;$B71&amp;$C71,'res bld data'!M$109:M$123),0)</f>
        <v>0.43326883395822402</v>
      </c>
      <c r="AA71" s="116">
        <f ca="1">IFERROR(SUMIF('res bld data'!$U$3:$U$107,"="&amp;$B71&amp;$C71&amp;$D71,'res bld data'!O$3:O$107)/SUMIF('res bld data'!$U$109:$U$123,"="&amp;$B71&amp;$C71,'res bld data'!O$109:O$123),0)</f>
        <v>0.74420595226688702</v>
      </c>
    </row>
    <row r="72" spans="2:27">
      <c r="B72" s="20" t="s">
        <v>10</v>
      </c>
      <c r="C72" s="20" t="s">
        <v>371</v>
      </c>
      <c r="D72" s="20" t="s">
        <v>378</v>
      </c>
      <c r="E72" s="75">
        <f t="shared" ca="1" si="0"/>
        <v>3.3245342202000812</v>
      </c>
      <c r="F72" s="75">
        <f t="shared" ca="1" si="1"/>
        <v>11.842788026687362</v>
      </c>
      <c r="G72" s="21">
        <f t="shared" ca="1" si="80"/>
        <v>60947</v>
      </c>
      <c r="H72" s="21">
        <f t="shared" ref="H72:I72" ca="1" si="86">$S72*T72</f>
        <v>2154503.6644494138</v>
      </c>
      <c r="I72" s="21">
        <f t="shared" ca="1" si="86"/>
        <v>3069259.9333176273</v>
      </c>
      <c r="J72" s="21"/>
      <c r="R72" s="115"/>
      <c r="S72" s="22">
        <f ca="1">G72/SUMIF('res bld data'!$B$3:$B$14,"="&amp;B72,'res bld data'!$G$3:$G$14)</f>
        <v>0.2419530282338743</v>
      </c>
      <c r="T72" s="21">
        <f>SUMIFS('Projections by County'!$D$10:$D$36,'Projections by County'!$A$10:$A$36,B72,'Projections by County'!$C$10:$C$36,"Electricity (kWh)",'Projections by County'!$B$10:$B$36,"Residential")*BTU_per_kWh/1000000</f>
        <v>8904636.0782343596</v>
      </c>
      <c r="U72" s="21">
        <f>SUMIFS('Projections by County'!$D$10:$D$36,'Projections by County'!$A$10:$A$36,B72,'Projections by County'!$C$10:$C$36,"Natural Gas",'Projections by County'!$B$10:$B$36,"Residential")</f>
        <v>12685354.491</v>
      </c>
      <c r="V72" s="116"/>
      <c r="W72" s="116">
        <f ca="1">SUMIF('res bld data'!$U$3:$U$282,"="&amp;$B72&amp;$C72&amp;$D72,'res bld data'!M$3:M$282)/SUMIF('res bld data'!$U$3:$U$282,"="&amp;$B72&amp;$C72&amp;$D72,'res bld data'!$S$3:$S$282)</f>
        <v>0.30598225303140836</v>
      </c>
      <c r="X72" s="116">
        <f ca="1">SUMIF('res bld data'!$U$3:$U$282,"="&amp;$B72&amp;$C72&amp;$D72,'res bld data'!O$3:O$282)/SUMIF('res bld data'!$U$3:$U$282,"="&amp;$B72&amp;$C72&amp;$D72,'res bld data'!$S$3:$S$282)</f>
        <v>0.69401774696859164</v>
      </c>
      <c r="Z72" s="116">
        <f ca="1">IFERROR(SUMIF('res bld data'!$U$3:$U$107,"="&amp;$B72&amp;$C72&amp;$D72,'res bld data'!M$3:M$107)/SUMIF('res bld data'!$U$109:$U$123,"="&amp;$B72&amp;$C72,'res bld data'!M$109:M$123),0)</f>
        <v>9.4045041770822083E-2</v>
      </c>
      <c r="AA72" s="116">
        <f ca="1">IFERROR(SUMIF('res bld data'!$U$3:$U$107,"="&amp;$B72&amp;$C72&amp;$D72,'res bld data'!O$3:O$107)/SUMIF('res bld data'!$U$109:$U$123,"="&amp;$B72&amp;$C72,'res bld data'!O$109:O$123),0)</f>
        <v>0.2351649640447119</v>
      </c>
    </row>
    <row r="73" spans="2:27">
      <c r="B73" s="20" t="s">
        <v>10</v>
      </c>
      <c r="C73" s="20" t="s">
        <v>373</v>
      </c>
      <c r="D73" s="20" t="s">
        <v>369</v>
      </c>
      <c r="E73" s="75">
        <f t="shared" ca="1" si="0"/>
        <v>3.1062556166733932</v>
      </c>
      <c r="F73" s="75">
        <f t="shared" ca="1" si="1"/>
        <v>0</v>
      </c>
      <c r="G73" s="21">
        <f ca="1">VLOOKUP(B73&amp;C73,'res bld data'!$A$3:$H$37,7,FALSE)</f>
        <v>16893</v>
      </c>
      <c r="H73" s="21">
        <f t="shared" ref="H73:I73" ca="1" si="87">$S73*T73</f>
        <v>597175.09317183692</v>
      </c>
      <c r="I73" s="21">
        <f t="shared" ca="1" si="87"/>
        <v>850722.8912585472</v>
      </c>
      <c r="J73" s="21"/>
      <c r="R73" s="115"/>
      <c r="S73" s="22">
        <f ca="1">G73/SUMIF('res bld data'!$B$3:$B$14,"="&amp;B73,'res bld data'!$G$3:$G$14)</f>
        <v>6.7063391240829551E-2</v>
      </c>
      <c r="T73" s="21">
        <f>SUMIFS('Projections by County'!$D$10:$D$36,'Projections by County'!$A$10:$A$36,B73,'Projections by County'!$C$10:$C$36,"Electricity (kWh)",'Projections by County'!$B$10:$B$36,"Residential")*BTU_per_kWh/1000000</f>
        <v>8904636.0782343596</v>
      </c>
      <c r="U73" s="21">
        <f>SUMIFS('Projections by County'!$D$10:$D$36,'Projections by County'!$A$10:$A$36,B73,'Projections by County'!$C$10:$C$36,"Natural Gas",'Projections by County'!$B$10:$B$36,"Residential")</f>
        <v>12685354.491</v>
      </c>
      <c r="V73" s="116"/>
      <c r="W73" s="116">
        <f ca="1">SUMIF('res bld data'!$U$3:$U$282,"="&amp;$B73&amp;$C73&amp;$D73,'res bld data'!M$3:M$282)/SUMIF('res bld data'!$U$3:$U$282,"="&amp;$B73&amp;$C73&amp;$D73,'res bld data'!$S$3:$S$282)</f>
        <v>1</v>
      </c>
      <c r="X73" s="116">
        <f ca="1">SUMIF('res bld data'!$U$3:$U$282,"="&amp;$B73&amp;$C73&amp;$D73,'res bld data'!O$3:O$282)/SUMIF('res bld data'!$U$3:$U$282,"="&amp;$B73&amp;$C73&amp;$D73,'res bld data'!$S$3:$S$282)</f>
        <v>0</v>
      </c>
      <c r="Z73" s="116">
        <f ca="1">IFERROR(SUMIF('res bld data'!$U$3:$U$107,"="&amp;$B73&amp;$C73&amp;$D73,'res bld data'!M$3:M$107)/SUMIF('res bld data'!$U$109:$U$123,"="&amp;$B73&amp;$C73,'res bld data'!M$109:M$123),0)</f>
        <v>8.7870336074723512E-2</v>
      </c>
      <c r="AA73" s="116">
        <f ca="1">IFERROR(SUMIF('res bld data'!$U$3:$U$107,"="&amp;$B73&amp;$C73&amp;$D73,'res bld data'!O$3:O$107)/SUMIF('res bld data'!$U$109:$U$123,"="&amp;$B73&amp;$C73,'res bld data'!O$109:O$123),0)</f>
        <v>0</v>
      </c>
    </row>
    <row r="74" spans="2:27">
      <c r="B74" s="20" t="s">
        <v>10</v>
      </c>
      <c r="C74" s="20" t="s">
        <v>373</v>
      </c>
      <c r="D74" s="20" t="s">
        <v>372</v>
      </c>
      <c r="E74" s="75">
        <f t="shared" ca="1" si="0"/>
        <v>4.7243806123531256</v>
      </c>
      <c r="F74" s="75">
        <f t="shared" ca="1" si="1"/>
        <v>1.2058862659533733</v>
      </c>
      <c r="G74" s="21">
        <f t="shared" ref="G74:G79" ca="1" si="88">G73</f>
        <v>16893</v>
      </c>
      <c r="H74" s="21">
        <f t="shared" ref="H74:I74" ca="1" si="89">$S74*T74</f>
        <v>597175.09317183692</v>
      </c>
      <c r="I74" s="21">
        <f t="shared" ca="1" si="89"/>
        <v>850722.8912585472</v>
      </c>
      <c r="J74" s="21"/>
      <c r="R74" s="115"/>
      <c r="S74" s="22">
        <f ca="1">G74/SUMIF('res bld data'!$B$3:$B$14,"="&amp;B74,'res bld data'!$G$3:$G$14)</f>
        <v>6.7063391240829551E-2</v>
      </c>
      <c r="T74" s="21">
        <f>SUMIFS('Projections by County'!$D$10:$D$36,'Projections by County'!$A$10:$A$36,B74,'Projections by County'!$C$10:$C$36,"Electricity (kWh)",'Projections by County'!$B$10:$B$36,"Residential")*BTU_per_kWh/1000000</f>
        <v>8904636.0782343596</v>
      </c>
      <c r="U74" s="21">
        <f>SUMIFS('Projections by County'!$D$10:$D$36,'Projections by County'!$A$10:$A$36,B74,'Projections by County'!$C$10:$C$36,"Natural Gas",'Projections by County'!$B$10:$B$36,"Residential")</f>
        <v>12685354.491</v>
      </c>
      <c r="V74" s="116"/>
      <c r="W74" s="116">
        <f ca="1">SUMIF('res bld data'!$U$3:$U$282,"="&amp;$B74&amp;$C74&amp;$D74,'res bld data'!M$3:M$282)/SUMIF('res bld data'!$U$3:$U$282,"="&amp;$B74&amp;$C74&amp;$D74,'res bld data'!$S$3:$S$282)</f>
        <v>0.76059770684467776</v>
      </c>
      <c r="X74" s="116">
        <f ca="1">SUMIF('res bld data'!$U$3:$U$282,"="&amp;$B74&amp;$C74&amp;$D74,'res bld data'!O$3:O$282)/SUMIF('res bld data'!$U$3:$U$282,"="&amp;$B74&amp;$C74&amp;$D74,'res bld data'!$S$3:$S$282)</f>
        <v>0.23940229315532219</v>
      </c>
      <c r="Z74" s="116">
        <f ca="1">IFERROR(SUMIF('res bld data'!$U$3:$U$107,"="&amp;$B74&amp;$C74&amp;$D74,'res bld data'!M$3:M$107)/SUMIF('res bld data'!$U$109:$U$123,"="&amp;$B74&amp;$C74,'res bld data'!M$109:M$123),0)</f>
        <v>0.1336441566251263</v>
      </c>
      <c r="AA74" s="116">
        <f ca="1">IFERROR(SUMIF('res bld data'!$U$3:$U$107,"="&amp;$B74&amp;$C74&amp;$D74,'res bld data'!O$3:O$107)/SUMIF('res bld data'!$U$109:$U$123,"="&amp;$B74&amp;$C74,'res bld data'!O$109:O$123),0)</f>
        <v>2.3945560769634069E-2</v>
      </c>
    </row>
    <row r="75" spans="2:27">
      <c r="B75" s="20" t="s">
        <v>10</v>
      </c>
      <c r="C75" s="20" t="s">
        <v>373</v>
      </c>
      <c r="D75" s="20" t="s">
        <v>374</v>
      </c>
      <c r="E75" s="75">
        <f t="shared" ca="1" si="0"/>
        <v>7.2394571023029402</v>
      </c>
      <c r="F75" s="75">
        <f t="shared" ca="1" si="1"/>
        <v>0</v>
      </c>
      <c r="G75" s="21">
        <f t="shared" ca="1" si="88"/>
        <v>16893</v>
      </c>
      <c r="H75" s="21">
        <f t="shared" ref="H75:I75" ca="1" si="90">$S75*T75</f>
        <v>597175.09317183692</v>
      </c>
      <c r="I75" s="21">
        <f t="shared" ca="1" si="90"/>
        <v>850722.8912585472</v>
      </c>
      <c r="J75" s="21"/>
      <c r="R75" s="115"/>
      <c r="S75" s="22">
        <f ca="1">G75/SUMIF('res bld data'!$B$3:$B$14,"="&amp;B75,'res bld data'!$G$3:$G$14)</f>
        <v>6.7063391240829551E-2</v>
      </c>
      <c r="T75" s="21">
        <f>SUMIFS('Projections by County'!$D$10:$D$36,'Projections by County'!$A$10:$A$36,B75,'Projections by County'!$C$10:$C$36,"Electricity (kWh)",'Projections by County'!$B$10:$B$36,"Residential")*BTU_per_kWh/1000000</f>
        <v>8904636.0782343596</v>
      </c>
      <c r="U75" s="21">
        <f>SUMIFS('Projections by County'!$D$10:$D$36,'Projections by County'!$A$10:$A$36,B75,'Projections by County'!$C$10:$C$36,"Natural Gas",'Projections by County'!$B$10:$B$36,"Residential")</f>
        <v>12685354.491</v>
      </c>
      <c r="V75" s="116"/>
      <c r="W75" s="116">
        <f ca="1">SUMIF('res bld data'!$U$3:$U$282,"="&amp;$B75&amp;$C75&amp;$D75,'res bld data'!M$3:M$282)/SUMIF('res bld data'!$U$3:$U$282,"="&amp;$B75&amp;$C75&amp;$D75,'res bld data'!$S$3:$S$282)</f>
        <v>1</v>
      </c>
      <c r="X75" s="116">
        <f ca="1">SUMIF('res bld data'!$U$3:$U$282,"="&amp;$B75&amp;$C75&amp;$D75,'res bld data'!O$3:O$282)/SUMIF('res bld data'!$U$3:$U$282,"="&amp;$B75&amp;$C75&amp;$D75,'res bld data'!$S$3:$S$282)</f>
        <v>0</v>
      </c>
      <c r="Z75" s="116">
        <f ca="1">IFERROR(SUMIF('res bld data'!$U$3:$U$107,"="&amp;$B75&amp;$C75&amp;$D75,'res bld data'!M$3:M$107)/SUMIF('res bld data'!$U$109:$U$123,"="&amp;$B75&amp;$C75,'res bld data'!M$109:M$123),0)</f>
        <v>0.20479110771288128</v>
      </c>
      <c r="AA75" s="116">
        <f ca="1">IFERROR(SUMIF('res bld data'!$U$3:$U$107,"="&amp;$B75&amp;$C75&amp;$D75,'res bld data'!O$3:O$107)/SUMIF('res bld data'!$U$109:$U$123,"="&amp;$B75&amp;$C75,'res bld data'!O$109:O$123),0)</f>
        <v>0</v>
      </c>
    </row>
    <row r="76" spans="2:27">
      <c r="B76" s="20" t="s">
        <v>10</v>
      </c>
      <c r="C76" s="20" t="s">
        <v>373</v>
      </c>
      <c r="D76" s="20" t="s">
        <v>375</v>
      </c>
      <c r="E76" s="75">
        <f t="shared" ca="1" si="0"/>
        <v>1.9415710542459741</v>
      </c>
      <c r="F76" s="75">
        <f t="shared" ca="1" si="1"/>
        <v>0</v>
      </c>
      <c r="G76" s="21">
        <f t="shared" ca="1" si="88"/>
        <v>16893</v>
      </c>
      <c r="H76" s="21">
        <f t="shared" ref="H76:I76" ca="1" si="91">$S76*T76</f>
        <v>597175.09317183692</v>
      </c>
      <c r="I76" s="21">
        <f t="shared" ca="1" si="91"/>
        <v>850722.8912585472</v>
      </c>
      <c r="J76" s="21"/>
      <c r="R76" s="115"/>
      <c r="S76" s="22">
        <f ca="1">G76/SUMIF('res bld data'!$B$3:$B$14,"="&amp;B76,'res bld data'!$G$3:$G$14)</f>
        <v>6.7063391240829551E-2</v>
      </c>
      <c r="T76" s="21">
        <f>SUMIFS('Projections by County'!$D$10:$D$36,'Projections by County'!$A$10:$A$36,B76,'Projections by County'!$C$10:$C$36,"Electricity (kWh)",'Projections by County'!$B$10:$B$36,"Residential")*BTU_per_kWh/1000000</f>
        <v>8904636.0782343596</v>
      </c>
      <c r="U76" s="21">
        <f>SUMIFS('Projections by County'!$D$10:$D$36,'Projections by County'!$A$10:$A$36,B76,'Projections by County'!$C$10:$C$36,"Natural Gas",'Projections by County'!$B$10:$B$36,"Residential")</f>
        <v>12685354.491</v>
      </c>
      <c r="V76" s="116"/>
      <c r="W76" s="116">
        <f ca="1">SUMIF('res bld data'!$U$3:$U$282,"="&amp;$B76&amp;$C76&amp;$D76,'res bld data'!M$3:M$282)/SUMIF('res bld data'!$U$3:$U$282,"="&amp;$B76&amp;$C76&amp;$D76,'res bld data'!$S$3:$S$282)</f>
        <v>1</v>
      </c>
      <c r="X76" s="116">
        <f ca="1">SUMIF('res bld data'!$U$3:$U$282,"="&amp;$B76&amp;$C76&amp;$D76,'res bld data'!O$3:O$282)/SUMIF('res bld data'!$U$3:$U$282,"="&amp;$B76&amp;$C76&amp;$D76,'res bld data'!$S$3:$S$282)</f>
        <v>0</v>
      </c>
      <c r="Z76" s="116">
        <f ca="1">IFERROR(SUMIF('res bld data'!$U$3:$U$107,"="&amp;$B76&amp;$C76&amp;$D76,'res bld data'!M$3:M$107)/SUMIF('res bld data'!$U$109:$U$123,"="&amp;$B76&amp;$C76,'res bld data'!M$109:M$123),0)</f>
        <v>5.4923522756397593E-2</v>
      </c>
      <c r="AA76" s="116">
        <f ca="1">IFERROR(SUMIF('res bld data'!$U$3:$U$107,"="&amp;$B76&amp;$C76&amp;$D76,'res bld data'!O$3:O$107)/SUMIF('res bld data'!$U$109:$U$123,"="&amp;$B76&amp;$C76,'res bld data'!O$109:O$123),0)</f>
        <v>0</v>
      </c>
    </row>
    <row r="77" spans="2:27">
      <c r="B77" s="20" t="s">
        <v>10</v>
      </c>
      <c r="C77" s="20" t="s">
        <v>373</v>
      </c>
      <c r="D77" s="20" t="s">
        <v>376</v>
      </c>
      <c r="E77" s="75">
        <f t="shared" ca="1" si="0"/>
        <v>3.677427016166968</v>
      </c>
      <c r="F77" s="75">
        <f t="shared" ca="1" si="1"/>
        <v>0</v>
      </c>
      <c r="G77" s="21">
        <f t="shared" ca="1" si="88"/>
        <v>16893</v>
      </c>
      <c r="H77" s="21">
        <f t="shared" ref="H77:I77" ca="1" si="92">$S77*T77</f>
        <v>597175.09317183692</v>
      </c>
      <c r="I77" s="21">
        <f t="shared" ca="1" si="92"/>
        <v>850722.8912585472</v>
      </c>
      <c r="J77" s="21"/>
      <c r="R77" s="115"/>
      <c r="S77" s="22">
        <f ca="1">G77/SUMIF('res bld data'!$B$3:$B$14,"="&amp;B77,'res bld data'!$G$3:$G$14)</f>
        <v>6.7063391240829551E-2</v>
      </c>
      <c r="T77" s="21">
        <f>SUMIFS('Projections by County'!$D$10:$D$36,'Projections by County'!$A$10:$A$36,B77,'Projections by County'!$C$10:$C$36,"Electricity (kWh)",'Projections by County'!$B$10:$B$36,"Residential")*BTU_per_kWh/1000000</f>
        <v>8904636.0782343596</v>
      </c>
      <c r="U77" s="21">
        <f>SUMIFS('Projections by County'!$D$10:$D$36,'Projections by County'!$A$10:$A$36,B77,'Projections by County'!$C$10:$C$36,"Natural Gas",'Projections by County'!$B$10:$B$36,"Residential")</f>
        <v>12685354.491</v>
      </c>
      <c r="V77" s="116"/>
      <c r="W77" s="116">
        <f ca="1">SUMIF('res bld data'!$U$3:$U$282,"="&amp;$B77&amp;$C77&amp;$D77,'res bld data'!M$3:M$282)/SUMIF('res bld data'!$U$3:$U$282,"="&amp;$B77&amp;$C77&amp;$D77,'res bld data'!$S$3:$S$282)</f>
        <v>1</v>
      </c>
      <c r="X77" s="116">
        <f ca="1">SUMIF('res bld data'!$U$3:$U$282,"="&amp;$B77&amp;$C77&amp;$D77,'res bld data'!O$3:O$282)/SUMIF('res bld data'!$U$3:$U$282,"="&amp;$B77&amp;$C77&amp;$D77,'res bld data'!$S$3:$S$282)</f>
        <v>0</v>
      </c>
      <c r="Z77" s="116">
        <f ca="1">IFERROR(SUMIF('res bld data'!$U$3:$U$107,"="&amp;$B77&amp;$C77&amp;$D77,'res bld data'!M$3:M$107)/SUMIF('res bld data'!$U$109:$U$123,"="&amp;$B77&amp;$C77,'res bld data'!M$109:M$123),0)</f>
        <v>0.10402773875606494</v>
      </c>
      <c r="AA77" s="116">
        <f ca="1">IFERROR(SUMIF('res bld data'!$U$3:$U$107,"="&amp;$B77&amp;$C77&amp;$D77,'res bld data'!O$3:O$107)/SUMIF('res bld data'!$U$109:$U$123,"="&amp;$B77&amp;$C77,'res bld data'!O$109:O$123),0)</f>
        <v>0</v>
      </c>
    </row>
    <row r="78" spans="2:27">
      <c r="B78" s="20" t="s">
        <v>10</v>
      </c>
      <c r="C78" s="20" t="s">
        <v>373</v>
      </c>
      <c r="D78" s="20" t="s">
        <v>377</v>
      </c>
      <c r="E78" s="75">
        <f t="shared" ca="1" si="0"/>
        <v>12.684174723946134</v>
      </c>
      <c r="F78" s="75">
        <f t="shared" ca="1" si="1"/>
        <v>39.71021728411543</v>
      </c>
      <c r="G78" s="21">
        <f t="shared" ca="1" si="88"/>
        <v>16893</v>
      </c>
      <c r="H78" s="21">
        <f t="shared" ref="H78:I78" ca="1" si="93">$S78*T78</f>
        <v>597175.09317183692</v>
      </c>
      <c r="I78" s="21">
        <f t="shared" ca="1" si="93"/>
        <v>850722.8912585472</v>
      </c>
      <c r="J78" s="21"/>
      <c r="R78" s="115"/>
      <c r="S78" s="22">
        <f ca="1">G78/SUMIF('res bld data'!$B$3:$B$14,"="&amp;B78,'res bld data'!$G$3:$G$14)</f>
        <v>6.7063391240829551E-2</v>
      </c>
      <c r="T78" s="21">
        <f>SUMIFS('Projections by County'!$D$10:$D$36,'Projections by County'!$A$10:$A$36,B78,'Projections by County'!$C$10:$C$36,"Electricity (kWh)",'Projections by County'!$B$10:$B$36,"Residential")*BTU_per_kWh/1000000</f>
        <v>8904636.0782343596</v>
      </c>
      <c r="U78" s="21">
        <f>SUMIFS('Projections by County'!$D$10:$D$36,'Projections by County'!$A$10:$A$36,B78,'Projections by County'!$C$10:$C$36,"Natural Gas",'Projections by County'!$B$10:$B$36,"Residential")</f>
        <v>12685354.491</v>
      </c>
      <c r="V78" s="116"/>
      <c r="W78" s="116">
        <f ca="1">SUMIF('res bld data'!$U$3:$U$282,"="&amp;$B78&amp;$C78&amp;$D78,'res bld data'!M$3:M$282)/SUMIF('res bld data'!$U$3:$U$282,"="&amp;$B78&amp;$C78&amp;$D78,'res bld data'!$S$3:$S$282)</f>
        <v>0.20573702158938292</v>
      </c>
      <c r="X78" s="116">
        <f ca="1">SUMIF('res bld data'!$U$3:$U$282,"="&amp;$B78&amp;$C78&amp;$D78,'res bld data'!O$3:O$282)/SUMIF('res bld data'!$U$3:$U$282,"="&amp;$B78&amp;$C78&amp;$D78,'res bld data'!$S$3:$S$282)</f>
        <v>0.7942629784106171</v>
      </c>
      <c r="Z78" s="116">
        <f ca="1">IFERROR(SUMIF('res bld data'!$U$3:$U$107,"="&amp;$B78&amp;$C78&amp;$D78,'res bld data'!M$3:M$107)/SUMIF('res bld data'!$U$109:$U$123,"="&amp;$B78&amp;$C78,'res bld data'!M$109:M$123),0)</f>
        <v>0.3588122915065462</v>
      </c>
      <c r="AA78" s="116">
        <f ca="1">IFERROR(SUMIF('res bld data'!$U$3:$U$107,"="&amp;$B78&amp;$C78&amp;$D78,'res bld data'!O$3:O$107)/SUMIF('res bld data'!$U$109:$U$123,"="&amp;$B78&amp;$C78,'res bld data'!O$109:O$123),0)</f>
        <v>0.78853491245328267</v>
      </c>
    </row>
    <row r="79" spans="2:27">
      <c r="B79" s="20" t="s">
        <v>10</v>
      </c>
      <c r="C79" s="20" t="s">
        <v>373</v>
      </c>
      <c r="D79" s="20" t="s">
        <v>378</v>
      </c>
      <c r="E79" s="75">
        <f t="shared" ca="1" si="0"/>
        <v>1.9771804007920744</v>
      </c>
      <c r="F79" s="75">
        <f t="shared" ca="1" si="1"/>
        <v>9.4433880297895492</v>
      </c>
      <c r="G79" s="21">
        <f t="shared" ca="1" si="88"/>
        <v>16893</v>
      </c>
      <c r="H79" s="21">
        <f t="shared" ref="H79:I79" ca="1" si="94">$S79*T79</f>
        <v>597175.09317183692</v>
      </c>
      <c r="I79" s="21">
        <f t="shared" ca="1" si="94"/>
        <v>850722.8912585472</v>
      </c>
      <c r="J79" s="21"/>
      <c r="R79" s="115"/>
      <c r="S79" s="22">
        <f ca="1">G79/SUMIF('res bld data'!$B$3:$B$14,"="&amp;B79,'res bld data'!$G$3:$G$14)</f>
        <v>6.7063391240829551E-2</v>
      </c>
      <c r="T79" s="21">
        <f>SUMIFS('Projections by County'!$D$10:$D$36,'Projections by County'!$A$10:$A$36,B79,'Projections by County'!$C$10:$C$36,"Electricity (kWh)",'Projections by County'!$B$10:$B$36,"Residential")*BTU_per_kWh/1000000</f>
        <v>8904636.0782343596</v>
      </c>
      <c r="U79" s="21">
        <f>SUMIFS('Projections by County'!$D$10:$D$36,'Projections by County'!$A$10:$A$36,B79,'Projections by County'!$C$10:$C$36,"Natural Gas",'Projections by County'!$B$10:$B$36,"Residential")</f>
        <v>12685354.491</v>
      </c>
      <c r="V79" s="116"/>
      <c r="W79" s="116">
        <f ca="1">SUMIF('res bld data'!$U$3:$U$282,"="&amp;$B79&amp;$C79&amp;$D79,'res bld data'!M$3:M$282)/SUMIF('res bld data'!$U$3:$U$282,"="&amp;$B79&amp;$C79&amp;$D79,'res bld data'!$S$3:$S$282)</f>
        <v>0.14514414689733784</v>
      </c>
      <c r="X79" s="116">
        <f ca="1">SUMIF('res bld data'!$U$3:$U$282,"="&amp;$B79&amp;$C79&amp;$D79,'res bld data'!O$3:O$282)/SUMIF('res bld data'!$U$3:$U$282,"="&amp;$B79&amp;$C79&amp;$D79,'res bld data'!$S$3:$S$282)</f>
        <v>0.85485585310266221</v>
      </c>
      <c r="Z79" s="116">
        <f ca="1">IFERROR(SUMIF('res bld data'!$U$3:$U$107,"="&amp;$B79&amp;$C79&amp;$D79,'res bld data'!M$3:M$107)/SUMIF('res bld data'!$U$109:$U$123,"="&amp;$B79&amp;$C79,'res bld data'!M$109:M$123),0)</f>
        <v>5.5930846568260223E-2</v>
      </c>
      <c r="AA79" s="116">
        <f ca="1">IFERROR(SUMIF('res bld data'!$U$3:$U$107,"="&amp;$B79&amp;$C79&amp;$D79,'res bld data'!O$3:O$107)/SUMIF('res bld data'!$U$109:$U$123,"="&amp;$B79&amp;$C79,'res bld data'!O$109:O$123),0)</f>
        <v>0.18751952677708331</v>
      </c>
    </row>
    <row r="80" spans="2:27">
      <c r="B80" s="20" t="s">
        <v>10</v>
      </c>
      <c r="C80" s="20" t="s">
        <v>370</v>
      </c>
      <c r="D80" s="20" t="s">
        <v>369</v>
      </c>
      <c r="E80" s="75">
        <f t="shared" ca="1" si="0"/>
        <v>3.5189232150330203</v>
      </c>
      <c r="F80" s="75">
        <f t="shared" ca="1" si="1"/>
        <v>1.3210238600415179E-2</v>
      </c>
      <c r="G80" s="21">
        <f ca="1">VLOOKUP(B80&amp;C80,'res bld data'!$A$3:$H$37,7,FALSE)</f>
        <v>170526</v>
      </c>
      <c r="H80" s="21">
        <f t="shared" ref="H80:I80" ca="1" si="95">$S80*T80</f>
        <v>6028170.2443746328</v>
      </c>
      <c r="I80" s="21">
        <f t="shared" ca="1" si="95"/>
        <v>8587602.6611469258</v>
      </c>
      <c r="J80" s="21"/>
      <c r="R80" s="115"/>
      <c r="S80" s="22">
        <f ca="1">G80/SUMIF('res bld data'!$B$3:$B$14,"="&amp;B80,'res bld data'!$G$3:$G$14)</f>
        <v>0.67696986057738118</v>
      </c>
      <c r="T80" s="21">
        <f>SUMIFS('Projections by County'!$D$10:$D$36,'Projections by County'!$A$10:$A$36,B80,'Projections by County'!$C$10:$C$36,"Electricity (kWh)",'Projections by County'!$B$10:$B$36,"Residential")*BTU_per_kWh/1000000</f>
        <v>8904636.0782343596</v>
      </c>
      <c r="U80" s="21">
        <f>SUMIFS('Projections by County'!$D$10:$D$36,'Projections by County'!$A$10:$A$36,B80,'Projections by County'!$C$10:$C$36,"Natural Gas",'Projections by County'!$B$10:$B$36,"Residential")</f>
        <v>12685354.491</v>
      </c>
      <c r="V80" s="116"/>
      <c r="W80" s="116">
        <f ca="1">SUMIF('res bld data'!$U$3:$U$282,"="&amp;$B80&amp;$C80&amp;$D80,'res bld data'!M$3:M$282)/SUMIF('res bld data'!$U$3:$U$282,"="&amp;$B80&amp;$C80&amp;$D80,'res bld data'!$S$3:$S$282)</f>
        <v>0.99373056703928819</v>
      </c>
      <c r="X80" s="116">
        <f ca="1">SUMIF('res bld data'!$U$3:$U$282,"="&amp;$B80&amp;$C80&amp;$D80,'res bld data'!O$3:O$282)/SUMIF('res bld data'!$U$3:$U$282,"="&amp;$B80&amp;$C80&amp;$D80,'res bld data'!$S$3:$S$282)</f>
        <v>6.2694329607118496E-3</v>
      </c>
      <c r="Z80" s="116">
        <f ca="1">IFERROR(SUMIF('res bld data'!$U$3:$U$107,"="&amp;$B80&amp;$C80&amp;$D80,'res bld data'!M$3:M$107)/SUMIF('res bld data'!$U$109:$U$123,"="&amp;$B80&amp;$C80,'res bld data'!M$109:M$123),0)</f>
        <v>9.954395377713364E-2</v>
      </c>
      <c r="AA80" s="116">
        <f ca="1">IFERROR(SUMIF('res bld data'!$U$3:$U$107,"="&amp;$B80&amp;$C80&amp;$D80,'res bld data'!O$3:O$107)/SUMIF('res bld data'!$U$109:$U$123,"="&amp;$B80&amp;$C80,'res bld data'!O$109:O$123),0)</f>
        <v>2.6231874441120666E-4</v>
      </c>
    </row>
    <row r="81" spans="2:27">
      <c r="B81" s="20" t="s">
        <v>10</v>
      </c>
      <c r="C81" s="20" t="s">
        <v>370</v>
      </c>
      <c r="D81" s="20" t="s">
        <v>372</v>
      </c>
      <c r="E81" s="75">
        <f t="shared" ca="1" si="0"/>
        <v>5.6159810064821389</v>
      </c>
      <c r="F81" s="75">
        <f t="shared" ca="1" si="1"/>
        <v>1.0194324834095465</v>
      </c>
      <c r="G81" s="21">
        <f t="shared" ref="G81:G86" ca="1" si="96">G80</f>
        <v>170526</v>
      </c>
      <c r="H81" s="21">
        <f t="shared" ref="H81:I81" ca="1" si="97">$S81*T81</f>
        <v>6028170.2443746328</v>
      </c>
      <c r="I81" s="21">
        <f t="shared" ca="1" si="97"/>
        <v>8587602.6611469258</v>
      </c>
      <c r="J81" s="21"/>
      <c r="R81" s="115"/>
      <c r="S81" s="22">
        <f ca="1">G81/SUMIF('res bld data'!$B$3:$B$14,"="&amp;B81,'res bld data'!$G$3:$G$14)</f>
        <v>0.67696986057738118</v>
      </c>
      <c r="T81" s="21">
        <f>SUMIFS('Projections by County'!$D$10:$D$36,'Projections by County'!$A$10:$A$36,B81,'Projections by County'!$C$10:$C$36,"Electricity (kWh)",'Projections by County'!$B$10:$B$36,"Residential")*BTU_per_kWh/1000000</f>
        <v>8904636.0782343596</v>
      </c>
      <c r="U81" s="21">
        <f>SUMIFS('Projections by County'!$D$10:$D$36,'Projections by County'!$A$10:$A$36,B81,'Projections by County'!$C$10:$C$36,"Natural Gas",'Projections by County'!$B$10:$B$36,"Residential")</f>
        <v>12685354.491</v>
      </c>
      <c r="V81" s="116"/>
      <c r="W81" s="116">
        <f ca="1">SUMIF('res bld data'!$U$3:$U$282,"="&amp;$B81&amp;$C81&amp;$D81,'res bld data'!M$3:M$282)/SUMIF('res bld data'!$U$3:$U$282,"="&amp;$B81&amp;$C81&amp;$D81,'res bld data'!$S$3:$S$282)</f>
        <v>0.76624569099167883</v>
      </c>
      <c r="X81" s="116">
        <f ca="1">SUMIF('res bld data'!$U$3:$U$282,"="&amp;$B81&amp;$C81&amp;$D81,'res bld data'!O$3:O$282)/SUMIF('res bld data'!$U$3:$U$282,"="&amp;$B81&amp;$C81&amp;$D81,'res bld data'!$S$3:$S$282)</f>
        <v>0.23375430900832114</v>
      </c>
      <c r="Z81" s="116">
        <f ca="1">IFERROR(SUMIF('res bld data'!$U$3:$U$107,"="&amp;$B81&amp;$C81&amp;$D81,'res bld data'!M$3:M$107)/SUMIF('res bld data'!$U$109:$U$123,"="&amp;$B81&amp;$C81,'res bld data'!M$109:M$123),0)</f>
        <v>0.1588659142473709</v>
      </c>
      <c r="AA81" s="116">
        <f ca="1">IFERROR(SUMIF('res bld data'!$U$3:$U$107,"="&amp;$B81&amp;$C81&amp;$D81,'res bld data'!O$3:O$107)/SUMIF('res bld data'!$U$109:$U$123,"="&amp;$B81&amp;$C81,'res bld data'!O$109:O$123),0)</f>
        <v>2.0243105151150412E-2</v>
      </c>
    </row>
    <row r="82" spans="2:27">
      <c r="B82" s="20" t="s">
        <v>10</v>
      </c>
      <c r="C82" s="20" t="s">
        <v>370</v>
      </c>
      <c r="D82" s="20" t="s">
        <v>374</v>
      </c>
      <c r="E82" s="75">
        <f t="shared" ca="1" si="0"/>
        <v>6.1384305583891079</v>
      </c>
      <c r="F82" s="75">
        <f t="shared" ca="1" si="1"/>
        <v>0</v>
      </c>
      <c r="G82" s="21">
        <f t="shared" ca="1" si="96"/>
        <v>170526</v>
      </c>
      <c r="H82" s="21">
        <f t="shared" ref="H82:I82" ca="1" si="98">$S82*T82</f>
        <v>6028170.2443746328</v>
      </c>
      <c r="I82" s="21">
        <f t="shared" ca="1" si="98"/>
        <v>8587602.6611469258</v>
      </c>
      <c r="J82" s="21"/>
      <c r="R82" s="115"/>
      <c r="S82" s="22">
        <f ca="1">G82/SUMIF('res bld data'!$B$3:$B$14,"="&amp;B82,'res bld data'!$G$3:$G$14)</f>
        <v>0.67696986057738118</v>
      </c>
      <c r="T82" s="21">
        <f>SUMIFS('Projections by County'!$D$10:$D$36,'Projections by County'!$A$10:$A$36,B82,'Projections by County'!$C$10:$C$36,"Electricity (kWh)",'Projections by County'!$B$10:$B$36,"Residential")*BTU_per_kWh/1000000</f>
        <v>8904636.0782343596</v>
      </c>
      <c r="U82" s="21">
        <f>SUMIFS('Projections by County'!$D$10:$D$36,'Projections by County'!$A$10:$A$36,B82,'Projections by County'!$C$10:$C$36,"Natural Gas",'Projections by County'!$B$10:$B$36,"Residential")</f>
        <v>12685354.491</v>
      </c>
      <c r="V82" s="116"/>
      <c r="W82" s="116">
        <f ca="1">SUMIF('res bld data'!$U$3:$U$282,"="&amp;$B82&amp;$C82&amp;$D82,'res bld data'!M$3:M$282)/SUMIF('res bld data'!$U$3:$U$282,"="&amp;$B82&amp;$C82&amp;$D82,'res bld data'!$S$3:$S$282)</f>
        <v>1</v>
      </c>
      <c r="X82" s="116">
        <f ca="1">SUMIF('res bld data'!$U$3:$U$282,"="&amp;$B82&amp;$C82&amp;$D82,'res bld data'!O$3:O$282)/SUMIF('res bld data'!$U$3:$U$282,"="&amp;$B82&amp;$C82&amp;$D82,'res bld data'!$S$3:$S$282)</f>
        <v>0</v>
      </c>
      <c r="Z82" s="116">
        <f ca="1">IFERROR(SUMIF('res bld data'!$U$3:$U$107,"="&amp;$B82&amp;$C82&amp;$D82,'res bld data'!M$3:M$107)/SUMIF('res bld data'!$U$109:$U$123,"="&amp;$B82&amp;$C82,'res bld data'!M$109:M$123),0)</f>
        <v>0.17364506425091067</v>
      </c>
      <c r="AA82" s="116">
        <f ca="1">IFERROR(SUMIF('res bld data'!$U$3:$U$107,"="&amp;$B82&amp;$C82&amp;$D82,'res bld data'!O$3:O$107)/SUMIF('res bld data'!$U$109:$U$123,"="&amp;$B82&amp;$C82,'res bld data'!O$109:O$123),0)</f>
        <v>0</v>
      </c>
    </row>
    <row r="83" spans="2:27">
      <c r="B83" s="20" t="s">
        <v>10</v>
      </c>
      <c r="C83" s="20" t="s">
        <v>370</v>
      </c>
      <c r="D83" s="20" t="s">
        <v>375</v>
      </c>
      <c r="E83" s="75">
        <f t="shared" ca="1" si="0"/>
        <v>2.493806402119811</v>
      </c>
      <c r="F83" s="75">
        <f t="shared" ca="1" si="1"/>
        <v>0</v>
      </c>
      <c r="G83" s="21">
        <f t="shared" ca="1" si="96"/>
        <v>170526</v>
      </c>
      <c r="H83" s="21">
        <f t="shared" ref="H83:I83" ca="1" si="99">$S83*T83</f>
        <v>6028170.2443746328</v>
      </c>
      <c r="I83" s="21">
        <f t="shared" ca="1" si="99"/>
        <v>8587602.6611469258</v>
      </c>
      <c r="J83" s="21"/>
      <c r="R83" s="115"/>
      <c r="S83" s="22">
        <f ca="1">G83/SUMIF('res bld data'!$B$3:$B$14,"="&amp;B83,'res bld data'!$G$3:$G$14)</f>
        <v>0.67696986057738118</v>
      </c>
      <c r="T83" s="21">
        <f>SUMIFS('Projections by County'!$D$10:$D$36,'Projections by County'!$A$10:$A$36,B83,'Projections by County'!$C$10:$C$36,"Electricity (kWh)",'Projections by County'!$B$10:$B$36,"Residential")*BTU_per_kWh/1000000</f>
        <v>8904636.0782343596</v>
      </c>
      <c r="U83" s="21">
        <f>SUMIFS('Projections by County'!$D$10:$D$36,'Projections by County'!$A$10:$A$36,B83,'Projections by County'!$C$10:$C$36,"Natural Gas",'Projections by County'!$B$10:$B$36,"Residential")</f>
        <v>12685354.491</v>
      </c>
      <c r="V83" s="116"/>
      <c r="W83" s="116">
        <f ca="1">SUMIF('res bld data'!$U$3:$U$282,"="&amp;$B83&amp;$C83&amp;$D83,'res bld data'!M$3:M$282)/SUMIF('res bld data'!$U$3:$U$282,"="&amp;$B83&amp;$C83&amp;$D83,'res bld data'!$S$3:$S$282)</f>
        <v>1</v>
      </c>
      <c r="X83" s="116">
        <f ca="1">SUMIF('res bld data'!$U$3:$U$282,"="&amp;$B83&amp;$C83&amp;$D83,'res bld data'!O$3:O$282)/SUMIF('res bld data'!$U$3:$U$282,"="&amp;$B83&amp;$C83&amp;$D83,'res bld data'!$S$3:$S$282)</f>
        <v>0</v>
      </c>
      <c r="Z83" s="116">
        <f ca="1">IFERROR(SUMIF('res bld data'!$U$3:$U$107,"="&amp;$B83&amp;$C83&amp;$D83,'res bld data'!M$3:M$107)/SUMIF('res bld data'!$U$109:$U$123,"="&amp;$B83&amp;$C83,'res bld data'!M$109:M$123),0)</f>
        <v>7.0545258890909041E-2</v>
      </c>
      <c r="AA83" s="116">
        <f ca="1">IFERROR(SUMIF('res bld data'!$U$3:$U$107,"="&amp;$B83&amp;$C83&amp;$D83,'res bld data'!O$3:O$107)/SUMIF('res bld data'!$U$109:$U$123,"="&amp;$B83&amp;$C83,'res bld data'!O$109:O$123),0)</f>
        <v>0</v>
      </c>
    </row>
    <row r="84" spans="2:27">
      <c r="B84" s="20" t="s">
        <v>10</v>
      </c>
      <c r="C84" s="20" t="s">
        <v>370</v>
      </c>
      <c r="D84" s="20" t="s">
        <v>376</v>
      </c>
      <c r="E84" s="75">
        <f t="shared" ca="1" si="0"/>
        <v>4.6211702684695659</v>
      </c>
      <c r="F84" s="75">
        <f t="shared" ca="1" si="1"/>
        <v>0</v>
      </c>
      <c r="G84" s="21">
        <f t="shared" ca="1" si="96"/>
        <v>170526</v>
      </c>
      <c r="H84" s="21">
        <f t="shared" ref="H84:I84" ca="1" si="100">$S84*T84</f>
        <v>6028170.2443746328</v>
      </c>
      <c r="I84" s="21">
        <f t="shared" ca="1" si="100"/>
        <v>8587602.6611469258</v>
      </c>
      <c r="J84" s="21"/>
      <c r="R84" s="115"/>
      <c r="S84" s="22">
        <f ca="1">G84/SUMIF('res bld data'!$B$3:$B$14,"="&amp;B84,'res bld data'!$G$3:$G$14)</f>
        <v>0.67696986057738118</v>
      </c>
      <c r="T84" s="21">
        <f>SUMIFS('Projections by County'!$D$10:$D$36,'Projections by County'!$A$10:$A$36,B84,'Projections by County'!$C$10:$C$36,"Electricity (kWh)",'Projections by County'!$B$10:$B$36,"Residential")*BTU_per_kWh/1000000</f>
        <v>8904636.0782343596</v>
      </c>
      <c r="U84" s="21">
        <f>SUMIFS('Projections by County'!$D$10:$D$36,'Projections by County'!$A$10:$A$36,B84,'Projections by County'!$C$10:$C$36,"Natural Gas",'Projections by County'!$B$10:$B$36,"Residential")</f>
        <v>12685354.491</v>
      </c>
      <c r="V84" s="116"/>
      <c r="W84" s="116">
        <f ca="1">SUMIF('res bld data'!$U$3:$U$282,"="&amp;$B84&amp;$C84&amp;$D84,'res bld data'!M$3:M$282)/SUMIF('res bld data'!$U$3:$U$282,"="&amp;$B84&amp;$C84&amp;$D84,'res bld data'!$S$3:$S$282)</f>
        <v>1</v>
      </c>
      <c r="X84" s="116">
        <f ca="1">SUMIF('res bld data'!$U$3:$U$282,"="&amp;$B84&amp;$C84&amp;$D84,'res bld data'!O$3:O$282)/SUMIF('res bld data'!$U$3:$U$282,"="&amp;$B84&amp;$C84&amp;$D84,'res bld data'!$S$3:$S$282)</f>
        <v>0</v>
      </c>
      <c r="Z84" s="116">
        <f ca="1">IFERROR(SUMIF('res bld data'!$U$3:$U$107,"="&amp;$B84&amp;$C84&amp;$D84,'res bld data'!M$3:M$107)/SUMIF('res bld data'!$U$109:$U$123,"="&amp;$B84&amp;$C84,'res bld data'!M$109:M$123),0)</f>
        <v>0.13072452323927225</v>
      </c>
      <c r="AA84" s="116">
        <f ca="1">IFERROR(SUMIF('res bld data'!$U$3:$U$107,"="&amp;$B84&amp;$C84&amp;$D84,'res bld data'!O$3:O$107)/SUMIF('res bld data'!$U$109:$U$123,"="&amp;$B84&amp;$C84,'res bld data'!O$109:O$123),0)</f>
        <v>0</v>
      </c>
    </row>
    <row r="85" spans="2:27">
      <c r="B85" s="20" t="s">
        <v>10</v>
      </c>
      <c r="C85" s="20" t="s">
        <v>370</v>
      </c>
      <c r="D85" s="20" t="s">
        <v>377</v>
      </c>
      <c r="E85" s="75">
        <f t="shared" ca="1" si="0"/>
        <v>10.660814806249462</v>
      </c>
      <c r="F85" s="75">
        <f t="shared" ca="1" si="1"/>
        <v>43.499754936658448</v>
      </c>
      <c r="G85" s="21">
        <f t="shared" ca="1" si="96"/>
        <v>170526</v>
      </c>
      <c r="H85" s="21">
        <f t="shared" ref="H85:I85" ca="1" si="101">$S85*T85</f>
        <v>6028170.2443746328</v>
      </c>
      <c r="I85" s="21">
        <f t="shared" ca="1" si="101"/>
        <v>8587602.6611469258</v>
      </c>
      <c r="J85" s="21"/>
      <c r="R85" s="115"/>
      <c r="S85" s="22">
        <f ca="1">G85/SUMIF('res bld data'!$B$3:$B$14,"="&amp;B85,'res bld data'!$G$3:$G$14)</f>
        <v>0.67696986057738118</v>
      </c>
      <c r="T85" s="21">
        <f>SUMIFS('Projections by County'!$D$10:$D$36,'Projections by County'!$A$10:$A$36,B85,'Projections by County'!$C$10:$C$36,"Electricity (kWh)",'Projections by County'!$B$10:$B$36,"Residential")*BTU_per_kWh/1000000</f>
        <v>8904636.0782343596</v>
      </c>
      <c r="U85" s="21">
        <f>SUMIFS('Projections by County'!$D$10:$D$36,'Projections by County'!$A$10:$A$36,B85,'Projections by County'!$C$10:$C$36,"Natural Gas",'Projections by County'!$B$10:$B$36,"Residential")</f>
        <v>12685354.491</v>
      </c>
      <c r="V85" s="116"/>
      <c r="W85" s="116">
        <f ca="1">SUMIF('res bld data'!$U$3:$U$282,"="&amp;$B85&amp;$C85&amp;$D85,'res bld data'!M$3:M$282)/SUMIF('res bld data'!$U$3:$U$282,"="&amp;$B85&amp;$C85&amp;$D85,'res bld data'!$S$3:$S$282)</f>
        <v>0.12726966937328033</v>
      </c>
      <c r="X85" s="116">
        <f ca="1">SUMIF('res bld data'!$U$3:$U$282,"="&amp;$B85&amp;$C85&amp;$D85,'res bld data'!O$3:O$282)/SUMIF('res bld data'!$U$3:$U$282,"="&amp;$B85&amp;$C85&amp;$D85,'res bld data'!$S$3:$S$282)</f>
        <v>0.87273033062671967</v>
      </c>
      <c r="Z85" s="116">
        <f ca="1">IFERROR(SUMIF('res bld data'!$U$3:$U$107,"="&amp;$B85&amp;$C85&amp;$D85,'res bld data'!M$3:M$107)/SUMIF('res bld data'!$U$109:$U$123,"="&amp;$B85&amp;$C85,'res bld data'!M$109:M$123),0)</f>
        <v>0.30157511018322125</v>
      </c>
      <c r="AA85" s="116">
        <f ca="1">IFERROR(SUMIF('res bld data'!$U$3:$U$107,"="&amp;$B85&amp;$C85&amp;$D85,'res bld data'!O$3:O$107)/SUMIF('res bld data'!$U$109:$U$123,"="&amp;$B85&amp;$C85,'res bld data'!O$109:O$123),0)</f>
        <v>0.86378463268792205</v>
      </c>
    </row>
    <row r="86" spans="2:27">
      <c r="B86" s="20" t="s">
        <v>10</v>
      </c>
      <c r="C86" s="20" t="s">
        <v>370</v>
      </c>
      <c r="D86" s="20" t="s">
        <v>378</v>
      </c>
      <c r="E86" s="75">
        <f t="shared" ca="1" si="0"/>
        <v>2.3013202697375048</v>
      </c>
      <c r="F86" s="75">
        <f t="shared" ca="1" si="1"/>
        <v>5.82709392118994</v>
      </c>
      <c r="G86" s="21">
        <f t="shared" ca="1" si="96"/>
        <v>170526</v>
      </c>
      <c r="H86" s="21">
        <f t="shared" ref="H86:I86" ca="1" si="102">$S86*T86</f>
        <v>6028170.2443746328</v>
      </c>
      <c r="I86" s="21">
        <f t="shared" ca="1" si="102"/>
        <v>8587602.6611469258</v>
      </c>
      <c r="J86" s="21"/>
      <c r="R86" s="115"/>
      <c r="S86" s="22">
        <f ca="1">G86/SUMIF('res bld data'!$B$3:$B$14,"="&amp;B86,'res bld data'!$G$3:$G$14)</f>
        <v>0.67696986057738118</v>
      </c>
      <c r="T86" s="21">
        <f>SUMIFS('Projections by County'!$D$10:$D$36,'Projections by County'!$A$10:$A$36,B86,'Projections by County'!$C$10:$C$36,"Electricity (kWh)",'Projections by County'!$B$10:$B$36,"Residential")*BTU_per_kWh/1000000</f>
        <v>8904636.0782343596</v>
      </c>
      <c r="U86" s="21">
        <f>SUMIFS('Projections by County'!$D$10:$D$36,'Projections by County'!$A$10:$A$36,B86,'Projections by County'!$C$10:$C$36,"Natural Gas",'Projections by County'!$B$10:$B$36,"Residential")</f>
        <v>12685354.491</v>
      </c>
      <c r="V86" s="116"/>
      <c r="W86" s="116">
        <f ca="1">SUMIF('res bld data'!$U$3:$U$282,"="&amp;$B86&amp;$C86&amp;$D86,'res bld data'!M$3:M$282)/SUMIF('res bld data'!$U$3:$U$282,"="&amp;$B86&amp;$C86&amp;$D86,'res bld data'!$S$3:$S$282)</f>
        <v>0.19028284729793277</v>
      </c>
      <c r="X86" s="116">
        <f ca="1">SUMIF('res bld data'!$U$3:$U$282,"="&amp;$B86&amp;$C86&amp;$D86,'res bld data'!O$3:O$282)/SUMIF('res bld data'!$U$3:$U$282,"="&amp;$B86&amp;$C86&amp;$D86,'res bld data'!$S$3:$S$282)</f>
        <v>0.80971715270206723</v>
      </c>
      <c r="Z86" s="116">
        <f ca="1">IFERROR(SUMIF('res bld data'!$U$3:$U$107,"="&amp;$B86&amp;$C86&amp;$D86,'res bld data'!M$3:M$107)/SUMIF('res bld data'!$U$109:$U$123,"="&amp;$B86&amp;$C86,'res bld data'!M$109:M$123),0)</f>
        <v>6.510017541118221E-2</v>
      </c>
      <c r="AA86" s="116">
        <f ca="1">IFERROR(SUMIF('res bld data'!$U$3:$U$107,"="&amp;$B86&amp;$C86&amp;$D86,'res bld data'!O$3:O$107)/SUMIF('res bld data'!$U$109:$U$123,"="&amp;$B86&amp;$C86,'res bld data'!O$109:O$123),0)</f>
        <v>0.11570994341651632</v>
      </c>
    </row>
    <row r="87" spans="2:27">
      <c r="E87" s="75"/>
      <c r="F87" s="75"/>
      <c r="H87" s="21"/>
      <c r="I87" s="21"/>
      <c r="J87" s="21"/>
      <c r="R87" s="115"/>
      <c r="S87" s="22"/>
      <c r="T87" s="21"/>
      <c r="U87" s="21"/>
      <c r="V87" s="116"/>
      <c r="W87" s="116"/>
      <c r="X87" s="116"/>
      <c r="Z87" s="116"/>
      <c r="AA87" s="116"/>
    </row>
    <row r="88" spans="2:27">
      <c r="E88" s="75"/>
      <c r="F88" s="75"/>
      <c r="H88" s="21"/>
      <c r="I88" s="21"/>
      <c r="J88" s="21"/>
      <c r="R88" s="115"/>
      <c r="S88" s="22"/>
      <c r="T88" s="21"/>
      <c r="U88" s="21"/>
      <c r="V88" s="116"/>
      <c r="W88" s="116"/>
      <c r="X88" s="116"/>
      <c r="Z88" s="116"/>
      <c r="AA88" s="116"/>
    </row>
    <row r="89" spans="2:27">
      <c r="E89" s="75"/>
      <c r="F89" s="75"/>
      <c r="H89" s="21"/>
      <c r="I89" s="21"/>
      <c r="J89" s="21"/>
      <c r="R89" s="115"/>
      <c r="S89" s="22"/>
      <c r="T89" s="21"/>
      <c r="U89" s="21"/>
      <c r="V89" s="116"/>
      <c r="W89" s="116"/>
      <c r="X89" s="116"/>
      <c r="Z89" s="116"/>
      <c r="AA89" s="116"/>
    </row>
    <row r="90" spans="2:27">
      <c r="E90" s="75"/>
      <c r="F90" s="75"/>
      <c r="H90" s="21"/>
      <c r="I90" s="21"/>
      <c r="J90" s="21"/>
      <c r="R90" s="115"/>
      <c r="S90" s="22"/>
      <c r="T90" s="21"/>
      <c r="U90" s="21"/>
      <c r="V90" s="116"/>
      <c r="W90" s="116"/>
      <c r="X90" s="116"/>
      <c r="Z90" s="116"/>
      <c r="AA90" s="116"/>
    </row>
    <row r="91" spans="2:27">
      <c r="E91" s="75"/>
      <c r="F91" s="75"/>
      <c r="H91" s="21"/>
      <c r="I91" s="21"/>
      <c r="J91" s="21"/>
      <c r="R91" s="115"/>
      <c r="S91" s="22"/>
      <c r="T91" s="21"/>
      <c r="U91" s="21"/>
      <c r="V91" s="116"/>
      <c r="W91" s="116"/>
      <c r="X91" s="116"/>
      <c r="Z91" s="116"/>
      <c r="AA91" s="116"/>
    </row>
    <row r="92" spans="2:27">
      <c r="E92" s="75"/>
      <c r="F92" s="75"/>
      <c r="H92" s="21"/>
      <c r="I92" s="21"/>
      <c r="J92" s="21"/>
      <c r="R92" s="115"/>
      <c r="S92" s="22"/>
      <c r="T92" s="21"/>
      <c r="U92" s="21"/>
      <c r="V92" s="116"/>
      <c r="W92" s="116"/>
      <c r="X92" s="116"/>
      <c r="Z92" s="116"/>
      <c r="AA92" s="116"/>
    </row>
    <row r="93" spans="2:27">
      <c r="E93" s="75"/>
      <c r="F93" s="75"/>
      <c r="H93" s="21"/>
      <c r="I93" s="21"/>
      <c r="J93" s="21"/>
      <c r="R93" s="115"/>
      <c r="S93" s="22"/>
      <c r="T93" s="21"/>
      <c r="U93" s="21"/>
      <c r="V93" s="116"/>
      <c r="W93" s="116"/>
      <c r="X93" s="116"/>
      <c r="Z93" s="116"/>
      <c r="AA93" s="116"/>
    </row>
    <row r="94" spans="2:27">
      <c r="E94" s="75"/>
      <c r="F94" s="75"/>
      <c r="H94" s="21"/>
      <c r="I94" s="21"/>
      <c r="J94" s="21"/>
      <c r="R94" s="115"/>
      <c r="S94" s="22"/>
      <c r="T94" s="21"/>
      <c r="U94" s="21"/>
      <c r="V94" s="116"/>
      <c r="W94" s="116"/>
      <c r="X94" s="116"/>
      <c r="Z94" s="116"/>
      <c r="AA94" s="116"/>
    </row>
    <row r="95" spans="2:27">
      <c r="E95" s="75"/>
      <c r="F95" s="75"/>
      <c r="H95" s="21"/>
      <c r="I95" s="21"/>
      <c r="J95" s="21"/>
      <c r="R95" s="115"/>
      <c r="S95" s="22"/>
      <c r="T95" s="21"/>
      <c r="U95" s="21"/>
      <c r="V95" s="116"/>
      <c r="W95" s="116"/>
      <c r="X95" s="116"/>
      <c r="Z95" s="116"/>
      <c r="AA95" s="116"/>
    </row>
    <row r="96" spans="2:27">
      <c r="E96" s="75"/>
      <c r="F96" s="75"/>
      <c r="H96" s="21"/>
      <c r="I96" s="21"/>
      <c r="J96" s="21"/>
      <c r="R96" s="115"/>
      <c r="S96" s="22"/>
      <c r="T96" s="21"/>
      <c r="U96" s="21"/>
      <c r="V96" s="116"/>
      <c r="W96" s="116"/>
      <c r="X96" s="116"/>
      <c r="Z96" s="116"/>
      <c r="AA96" s="116"/>
    </row>
    <row r="97" spans="5:27">
      <c r="E97" s="75"/>
      <c r="F97" s="75"/>
      <c r="H97" s="21"/>
      <c r="I97" s="21"/>
      <c r="J97" s="21"/>
      <c r="R97" s="115"/>
      <c r="S97" s="22"/>
      <c r="T97" s="21"/>
      <c r="U97" s="21"/>
      <c r="V97" s="116"/>
      <c r="W97" s="116"/>
      <c r="X97" s="116"/>
      <c r="Z97" s="116"/>
      <c r="AA97" s="116"/>
    </row>
    <row r="98" spans="5:27">
      <c r="E98" s="75"/>
      <c r="F98" s="75"/>
      <c r="H98" s="21"/>
      <c r="I98" s="21"/>
      <c r="J98" s="21"/>
      <c r="R98" s="115"/>
      <c r="S98" s="22"/>
      <c r="T98" s="21"/>
      <c r="U98" s="21"/>
      <c r="V98" s="116"/>
      <c r="W98" s="116"/>
      <c r="X98" s="116"/>
      <c r="Z98" s="116"/>
      <c r="AA98" s="116"/>
    </row>
    <row r="99" spans="5:27">
      <c r="E99" s="75"/>
      <c r="F99" s="75"/>
      <c r="H99" s="21"/>
      <c r="I99" s="21"/>
      <c r="J99" s="21"/>
      <c r="R99" s="115"/>
      <c r="S99" s="22"/>
      <c r="T99" s="21"/>
      <c r="U99" s="21"/>
      <c r="V99" s="116"/>
      <c r="W99" s="116"/>
      <c r="X99" s="116"/>
      <c r="Z99" s="116"/>
      <c r="AA99" s="116"/>
    </row>
    <row r="100" spans="5:27">
      <c r="E100" s="75"/>
      <c r="F100" s="75"/>
      <c r="H100" s="21"/>
      <c r="I100" s="21"/>
      <c r="J100" s="21"/>
      <c r="R100" s="115"/>
      <c r="S100" s="22"/>
      <c r="T100" s="21"/>
      <c r="U100" s="21"/>
      <c r="V100" s="116"/>
      <c r="W100" s="116"/>
      <c r="X100" s="116"/>
      <c r="Z100" s="116"/>
      <c r="AA100" s="116"/>
    </row>
    <row r="101" spans="5:27">
      <c r="E101" s="75"/>
      <c r="F101" s="75"/>
      <c r="H101" s="21"/>
      <c r="I101" s="21"/>
      <c r="J101" s="21"/>
      <c r="R101" s="115"/>
      <c r="S101" s="22"/>
      <c r="T101" s="21"/>
      <c r="U101" s="21"/>
      <c r="V101" s="116"/>
      <c r="W101" s="116"/>
      <c r="X101" s="116"/>
      <c r="Z101" s="116"/>
      <c r="AA101" s="116"/>
    </row>
    <row r="102" spans="5:27">
      <c r="E102" s="75"/>
      <c r="F102" s="75"/>
      <c r="H102" s="21"/>
      <c r="I102" s="21"/>
      <c r="J102" s="21"/>
      <c r="R102" s="115"/>
      <c r="S102" s="22"/>
      <c r="T102" s="21"/>
      <c r="U102" s="21"/>
      <c r="V102" s="116"/>
      <c r="W102" s="116"/>
      <c r="X102" s="116"/>
      <c r="Z102" s="116"/>
      <c r="AA102" s="116"/>
    </row>
    <row r="103" spans="5:27">
      <c r="E103" s="75"/>
      <c r="F103" s="75"/>
      <c r="H103" s="21"/>
      <c r="I103" s="21"/>
      <c r="J103" s="21"/>
      <c r="R103" s="115"/>
      <c r="S103" s="22"/>
      <c r="T103" s="21"/>
      <c r="U103" s="21"/>
      <c r="V103" s="116"/>
      <c r="W103" s="116"/>
      <c r="X103" s="116"/>
      <c r="Z103" s="116"/>
      <c r="AA103" s="116"/>
    </row>
    <row r="104" spans="5:27">
      <c r="E104" s="75"/>
      <c r="F104" s="75"/>
      <c r="H104" s="21"/>
      <c r="I104" s="21"/>
      <c r="J104" s="21"/>
      <c r="R104" s="115"/>
      <c r="S104" s="22"/>
      <c r="T104" s="21"/>
      <c r="U104" s="21"/>
      <c r="V104" s="116"/>
      <c r="W104" s="116"/>
      <c r="X104" s="116"/>
      <c r="Z104" s="116"/>
      <c r="AA104" s="116"/>
    </row>
    <row r="105" spans="5:27">
      <c r="E105" s="75"/>
      <c r="F105" s="75"/>
      <c r="H105" s="21"/>
      <c r="I105" s="21"/>
      <c r="J105" s="21"/>
      <c r="R105" s="115"/>
      <c r="S105" s="22"/>
      <c r="T105" s="21"/>
      <c r="U105" s="21"/>
      <c r="V105" s="116"/>
      <c r="W105" s="116"/>
      <c r="X105" s="116"/>
      <c r="Z105" s="116"/>
      <c r="AA105" s="116"/>
    </row>
    <row r="106" spans="5:27">
      <c r="E106" s="75"/>
      <c r="F106" s="75"/>
      <c r="H106" s="21"/>
      <c r="I106" s="21"/>
      <c r="J106" s="21"/>
      <c r="R106" s="115"/>
      <c r="S106" s="22"/>
      <c r="T106" s="21"/>
      <c r="U106" s="21"/>
      <c r="V106" s="116"/>
      <c r="W106" s="116"/>
      <c r="X106" s="116"/>
      <c r="Z106" s="116"/>
      <c r="AA106" s="116"/>
    </row>
    <row r="107" spans="5:27">
      <c r="E107" s="75"/>
      <c r="F107" s="75"/>
      <c r="H107" s="21"/>
      <c r="I107" s="21"/>
      <c r="J107" s="21"/>
      <c r="R107" s="115"/>
      <c r="S107" s="22"/>
      <c r="T107" s="21"/>
      <c r="U107" s="21"/>
      <c r="V107" s="116"/>
      <c r="W107" s="116"/>
      <c r="X107" s="116"/>
      <c r="Z107" s="116"/>
      <c r="AA107" s="116"/>
    </row>
    <row r="108" spans="5:27">
      <c r="E108" s="75"/>
      <c r="F108" s="75"/>
      <c r="H108" s="21"/>
      <c r="I108" s="21"/>
      <c r="J108" s="21"/>
      <c r="R108" s="115"/>
      <c r="S108" s="22"/>
      <c r="T108" s="21"/>
      <c r="U108" s="21"/>
      <c r="V108" s="116"/>
      <c r="W108" s="116"/>
      <c r="X108" s="116"/>
      <c r="Z108" s="116"/>
      <c r="AA108" s="116"/>
    </row>
    <row r="109" spans="5:27">
      <c r="E109" s="75"/>
      <c r="F109" s="75"/>
      <c r="H109" s="21"/>
      <c r="I109" s="21"/>
      <c r="J109" s="21"/>
      <c r="R109" s="115"/>
      <c r="S109" s="22"/>
      <c r="T109" s="21"/>
      <c r="U109" s="21"/>
      <c r="V109" s="116"/>
      <c r="W109" s="116"/>
      <c r="X109" s="116"/>
      <c r="Z109" s="116"/>
      <c r="AA109" s="116"/>
    </row>
    <row r="110" spans="5:27">
      <c r="E110" s="75"/>
      <c r="F110" s="75"/>
      <c r="H110" s="21"/>
      <c r="I110" s="21"/>
      <c r="J110" s="21"/>
      <c r="R110" s="115"/>
      <c r="S110" s="22"/>
      <c r="T110" s="21"/>
      <c r="U110" s="21"/>
      <c r="V110" s="116"/>
      <c r="W110" s="116"/>
      <c r="X110" s="116"/>
      <c r="Z110" s="116"/>
      <c r="AA110" s="116"/>
    </row>
    <row r="111" spans="5:27">
      <c r="E111" s="75"/>
      <c r="F111" s="75"/>
      <c r="H111" s="21"/>
      <c r="I111" s="21"/>
      <c r="J111" s="21"/>
      <c r="R111" s="115"/>
      <c r="S111" s="22"/>
      <c r="T111" s="21"/>
      <c r="U111" s="21"/>
      <c r="V111" s="116"/>
      <c r="W111" s="116"/>
      <c r="X111" s="116"/>
      <c r="Z111" s="116"/>
      <c r="AA111" s="116"/>
    </row>
    <row r="112" spans="5:27">
      <c r="E112" s="75"/>
      <c r="F112" s="75"/>
      <c r="H112" s="21"/>
      <c r="I112" s="21"/>
      <c r="J112" s="21"/>
      <c r="R112" s="115"/>
      <c r="S112" s="22"/>
      <c r="T112" s="21"/>
      <c r="U112" s="21"/>
      <c r="V112" s="116"/>
      <c r="W112" s="116"/>
      <c r="X112" s="116"/>
      <c r="Z112" s="116"/>
      <c r="AA112" s="116"/>
    </row>
    <row r="113" spans="5:27">
      <c r="E113" s="75"/>
      <c r="F113" s="75"/>
      <c r="H113" s="21"/>
      <c r="I113" s="21"/>
      <c r="J113" s="21"/>
      <c r="R113" s="115"/>
      <c r="S113" s="22"/>
      <c r="T113" s="21"/>
      <c r="U113" s="21"/>
      <c r="V113" s="116"/>
      <c r="W113" s="116"/>
      <c r="X113" s="116"/>
      <c r="Z113" s="116"/>
      <c r="AA113" s="116"/>
    </row>
    <row r="114" spans="5:27">
      <c r="E114" s="75"/>
      <c r="F114" s="75"/>
      <c r="H114" s="21"/>
      <c r="I114" s="21"/>
      <c r="J114" s="21"/>
      <c r="R114" s="115"/>
      <c r="S114" s="22"/>
      <c r="T114" s="21"/>
      <c r="U114" s="21"/>
      <c r="V114" s="116"/>
      <c r="W114" s="116"/>
      <c r="X114" s="116"/>
      <c r="Z114" s="116"/>
      <c r="AA114" s="116"/>
    </row>
    <row r="115" spans="5:27">
      <c r="E115" s="75"/>
      <c r="F115" s="75"/>
      <c r="H115" s="21"/>
      <c r="I115" s="21"/>
      <c r="J115" s="21"/>
      <c r="R115" s="115"/>
      <c r="S115" s="22"/>
      <c r="T115" s="21"/>
      <c r="U115" s="21"/>
      <c r="V115" s="116"/>
      <c r="W115" s="116"/>
      <c r="X115" s="116"/>
      <c r="Z115" s="116"/>
      <c r="AA115" s="116"/>
    </row>
    <row r="116" spans="5:27">
      <c r="E116" s="75"/>
      <c r="F116" s="75"/>
      <c r="H116" s="21"/>
      <c r="I116" s="21"/>
      <c r="J116" s="21"/>
      <c r="R116" s="115"/>
      <c r="S116" s="22"/>
      <c r="T116" s="21"/>
      <c r="U116" s="21"/>
      <c r="V116" s="116"/>
      <c r="W116" s="116"/>
      <c r="X116" s="116"/>
      <c r="Z116" s="116"/>
      <c r="AA116" s="116"/>
    </row>
    <row r="117" spans="5:27">
      <c r="E117" s="75"/>
      <c r="F117" s="75"/>
      <c r="H117" s="21"/>
      <c r="I117" s="21"/>
      <c r="J117" s="21"/>
      <c r="R117" s="115"/>
      <c r="S117" s="22"/>
      <c r="T117" s="21"/>
      <c r="U117" s="21"/>
      <c r="V117" s="116"/>
      <c r="W117" s="116"/>
      <c r="X117" s="116"/>
      <c r="Z117" s="116"/>
      <c r="AA117" s="116"/>
    </row>
    <row r="118" spans="5:27">
      <c r="E118" s="75"/>
      <c r="F118" s="75"/>
      <c r="H118" s="21"/>
      <c r="I118" s="21"/>
      <c r="J118" s="21"/>
      <c r="R118" s="115"/>
      <c r="S118" s="22"/>
      <c r="T118" s="21"/>
      <c r="U118" s="21"/>
      <c r="V118" s="116"/>
      <c r="W118" s="116"/>
      <c r="X118" s="116"/>
      <c r="Z118" s="116"/>
      <c r="AA118" s="116"/>
    </row>
    <row r="119" spans="5:27">
      <c r="E119" s="75"/>
      <c r="F119" s="75"/>
      <c r="H119" s="21"/>
      <c r="I119" s="21"/>
      <c r="J119" s="21"/>
      <c r="R119" s="115"/>
      <c r="S119" s="22"/>
      <c r="T119" s="21"/>
      <c r="U119" s="21"/>
      <c r="V119" s="116"/>
      <c r="W119" s="116"/>
      <c r="X119" s="116"/>
      <c r="Z119" s="116"/>
      <c r="AA119" s="116"/>
    </row>
    <row r="120" spans="5:27">
      <c r="E120" s="75"/>
      <c r="F120" s="75"/>
      <c r="H120" s="21"/>
      <c r="I120" s="21"/>
      <c r="J120" s="21"/>
      <c r="R120" s="115"/>
      <c r="S120" s="22"/>
      <c r="T120" s="21"/>
      <c r="U120" s="21"/>
      <c r="V120" s="116"/>
      <c r="W120" s="116"/>
      <c r="X120" s="116"/>
      <c r="Z120" s="116"/>
      <c r="AA120" s="116"/>
    </row>
    <row r="121" spans="5:27">
      <c r="E121" s="75"/>
      <c r="F121" s="75"/>
      <c r="H121" s="21"/>
      <c r="I121" s="21"/>
      <c r="J121" s="21"/>
      <c r="R121" s="115"/>
      <c r="S121" s="22"/>
      <c r="T121" s="21"/>
      <c r="U121" s="21"/>
      <c r="V121" s="116"/>
      <c r="W121" s="116"/>
      <c r="X121" s="116"/>
      <c r="Z121" s="116"/>
      <c r="AA121" s="116"/>
    </row>
    <row r="122" spans="5:27">
      <c r="E122" s="75"/>
      <c r="F122" s="75"/>
      <c r="H122" s="21"/>
      <c r="I122" s="21"/>
      <c r="J122" s="21"/>
      <c r="R122" s="115"/>
      <c r="S122" s="22"/>
      <c r="T122" s="21"/>
      <c r="U122" s="21"/>
      <c r="V122" s="116"/>
      <c r="W122" s="116"/>
      <c r="X122" s="116"/>
      <c r="Z122" s="116"/>
      <c r="AA122" s="116"/>
    </row>
    <row r="123" spans="5:27">
      <c r="E123" s="75"/>
      <c r="F123" s="75"/>
      <c r="H123" s="21"/>
      <c r="I123" s="21"/>
      <c r="J123" s="21"/>
      <c r="R123" s="115"/>
      <c r="S123" s="22"/>
      <c r="T123" s="21"/>
      <c r="U123" s="21"/>
      <c r="V123" s="116"/>
      <c r="W123" s="116"/>
      <c r="X123" s="116"/>
      <c r="Z123" s="116"/>
      <c r="AA123" s="116"/>
    </row>
    <row r="124" spans="5:27">
      <c r="E124" s="75"/>
      <c r="F124" s="75"/>
      <c r="H124" s="21"/>
      <c r="I124" s="21"/>
      <c r="J124" s="21"/>
      <c r="R124" s="115"/>
      <c r="S124" s="22"/>
      <c r="T124" s="21"/>
      <c r="U124" s="21"/>
      <c r="V124" s="116"/>
      <c r="W124" s="116"/>
      <c r="X124" s="116"/>
      <c r="Z124" s="116"/>
      <c r="AA124" s="116"/>
    </row>
    <row r="125" spans="5:27">
      <c r="E125" s="75"/>
      <c r="F125" s="75"/>
      <c r="H125" s="21"/>
      <c r="I125" s="21"/>
      <c r="J125" s="21"/>
      <c r="R125" s="115"/>
      <c r="S125" s="22"/>
      <c r="T125" s="21"/>
      <c r="U125" s="21"/>
      <c r="V125" s="116"/>
      <c r="W125" s="116"/>
      <c r="X125" s="116"/>
      <c r="Z125" s="116"/>
      <c r="AA125" s="116"/>
    </row>
    <row r="126" spans="5:27">
      <c r="E126" s="75"/>
      <c r="F126" s="75"/>
      <c r="H126" s="21"/>
      <c r="I126" s="21"/>
      <c r="J126" s="21"/>
      <c r="R126" s="115"/>
      <c r="S126" s="22"/>
      <c r="T126" s="21"/>
      <c r="U126" s="21"/>
      <c r="V126" s="116"/>
      <c r="W126" s="116"/>
      <c r="X126" s="116"/>
      <c r="Z126" s="116"/>
      <c r="AA126" s="116"/>
    </row>
    <row r="127" spans="5:27">
      <c r="E127" s="75"/>
      <c r="F127" s="75"/>
      <c r="H127" s="21"/>
      <c r="I127" s="21"/>
      <c r="J127" s="21"/>
      <c r="R127" s="115"/>
      <c r="S127" s="22"/>
      <c r="T127" s="21"/>
      <c r="U127" s="21"/>
      <c r="V127" s="116"/>
      <c r="W127" s="116"/>
      <c r="X127" s="116"/>
      <c r="Z127" s="116"/>
      <c r="AA127" s="116"/>
    </row>
    <row r="128" spans="5:27">
      <c r="E128" s="75"/>
      <c r="F128" s="75"/>
      <c r="H128" s="21"/>
      <c r="I128" s="21"/>
      <c r="J128" s="21"/>
      <c r="R128" s="115"/>
      <c r="S128" s="22"/>
      <c r="T128" s="21"/>
      <c r="U128" s="21"/>
      <c r="V128" s="116"/>
      <c r="W128" s="116"/>
      <c r="X128" s="116"/>
      <c r="Z128" s="116"/>
      <c r="AA128" s="116"/>
    </row>
    <row r="129" spans="5:27">
      <c r="E129" s="75"/>
      <c r="F129" s="75"/>
      <c r="H129" s="21"/>
      <c r="I129" s="21"/>
      <c r="J129" s="21"/>
      <c r="R129" s="115"/>
      <c r="S129" s="22"/>
      <c r="T129" s="21"/>
      <c r="U129" s="21"/>
      <c r="V129" s="116"/>
      <c r="W129" s="116"/>
      <c r="X129" s="116"/>
      <c r="Z129" s="116"/>
      <c r="AA129" s="116"/>
    </row>
    <row r="130" spans="5:27">
      <c r="E130" s="75"/>
      <c r="F130" s="75"/>
      <c r="H130" s="21"/>
      <c r="I130" s="21"/>
      <c r="J130" s="21"/>
      <c r="R130" s="115"/>
      <c r="S130" s="22"/>
      <c r="T130" s="21"/>
      <c r="U130" s="21"/>
      <c r="V130" s="116"/>
      <c r="W130" s="116"/>
      <c r="X130" s="116"/>
      <c r="Z130" s="116"/>
      <c r="AA130" s="116"/>
    </row>
    <row r="131" spans="5:27">
      <c r="E131" s="75"/>
      <c r="F131" s="75"/>
      <c r="H131" s="21"/>
      <c r="I131" s="21"/>
      <c r="J131" s="21"/>
      <c r="R131" s="115"/>
      <c r="S131" s="22"/>
      <c r="T131" s="21"/>
      <c r="U131" s="21"/>
      <c r="V131" s="116"/>
      <c r="W131" s="116"/>
      <c r="X131" s="116"/>
      <c r="Z131" s="116"/>
      <c r="AA131" s="116"/>
    </row>
    <row r="132" spans="5:27">
      <c r="E132" s="75"/>
      <c r="F132" s="75"/>
      <c r="H132" s="21"/>
      <c r="I132" s="21"/>
      <c r="J132" s="21"/>
      <c r="R132" s="115"/>
      <c r="S132" s="22"/>
      <c r="T132" s="21"/>
      <c r="U132" s="21"/>
      <c r="V132" s="116"/>
      <c r="W132" s="116"/>
      <c r="X132" s="116"/>
      <c r="Z132" s="116"/>
      <c r="AA132" s="116"/>
    </row>
    <row r="133" spans="5:27">
      <c r="E133" s="75"/>
      <c r="F133" s="75"/>
      <c r="H133" s="21"/>
      <c r="I133" s="21"/>
      <c r="J133" s="21"/>
      <c r="R133" s="115"/>
      <c r="S133" s="22"/>
      <c r="T133" s="21"/>
      <c r="U133" s="21"/>
      <c r="V133" s="116"/>
      <c r="W133" s="116"/>
      <c r="X133" s="116"/>
      <c r="Z133" s="116"/>
      <c r="AA133" s="116"/>
    </row>
    <row r="134" spans="5:27">
      <c r="E134" s="75"/>
      <c r="F134" s="75"/>
      <c r="H134" s="21"/>
      <c r="I134" s="21"/>
      <c r="J134" s="21"/>
      <c r="R134" s="115"/>
      <c r="S134" s="22"/>
      <c r="T134" s="21"/>
      <c r="U134" s="21"/>
      <c r="V134" s="116"/>
      <c r="W134" s="116"/>
      <c r="X134" s="116"/>
      <c r="Z134" s="116"/>
      <c r="AA134" s="116"/>
    </row>
    <row r="135" spans="5:27">
      <c r="E135" s="75"/>
      <c r="F135" s="75"/>
      <c r="H135" s="21"/>
      <c r="I135" s="21"/>
      <c r="J135" s="21"/>
      <c r="R135" s="115"/>
      <c r="S135" s="22"/>
      <c r="T135" s="21"/>
      <c r="U135" s="21"/>
      <c r="V135" s="116"/>
      <c r="W135" s="116"/>
      <c r="X135" s="116"/>
      <c r="Z135" s="116"/>
      <c r="AA135" s="116"/>
    </row>
    <row r="136" spans="5:27">
      <c r="E136" s="75"/>
      <c r="F136" s="75"/>
      <c r="H136" s="21"/>
      <c r="I136" s="21"/>
      <c r="J136" s="21"/>
      <c r="R136" s="115"/>
      <c r="S136" s="22"/>
      <c r="T136" s="21"/>
      <c r="U136" s="21"/>
      <c r="V136" s="116"/>
      <c r="W136" s="116"/>
      <c r="X136" s="116"/>
      <c r="Z136" s="116"/>
      <c r="AA136" s="116"/>
    </row>
    <row r="137" spans="5:27">
      <c r="E137" s="75"/>
      <c r="F137" s="75"/>
      <c r="H137" s="21"/>
      <c r="I137" s="21"/>
      <c r="J137" s="21"/>
      <c r="R137" s="115"/>
      <c r="S137" s="22"/>
      <c r="T137" s="21"/>
      <c r="U137" s="21"/>
      <c r="V137" s="116"/>
      <c r="W137" s="116"/>
      <c r="X137" s="116"/>
      <c r="Z137" s="116"/>
      <c r="AA137" s="116"/>
    </row>
    <row r="138" spans="5:27">
      <c r="E138" s="75"/>
      <c r="F138" s="75"/>
      <c r="H138" s="21"/>
      <c r="I138" s="21"/>
      <c r="J138" s="21"/>
      <c r="R138" s="115"/>
      <c r="S138" s="22"/>
      <c r="T138" s="21"/>
      <c r="U138" s="21"/>
      <c r="V138" s="116"/>
      <c r="W138" s="116"/>
      <c r="X138" s="116"/>
      <c r="Z138" s="116"/>
      <c r="AA138" s="116"/>
    </row>
    <row r="139" spans="5:27">
      <c r="E139" s="75"/>
      <c r="F139" s="75"/>
      <c r="H139" s="21"/>
      <c r="I139" s="21"/>
      <c r="J139" s="21"/>
      <c r="R139" s="115"/>
      <c r="S139" s="22"/>
      <c r="T139" s="21"/>
      <c r="U139" s="21"/>
      <c r="V139" s="116"/>
      <c r="W139" s="116"/>
      <c r="X139" s="116"/>
      <c r="Z139" s="116"/>
      <c r="AA139" s="116"/>
    </row>
    <row r="140" spans="5:27">
      <c r="E140" s="75"/>
      <c r="F140" s="75"/>
      <c r="H140" s="21"/>
      <c r="I140" s="21"/>
      <c r="J140" s="21"/>
      <c r="R140" s="115"/>
      <c r="S140" s="22"/>
      <c r="T140" s="21"/>
      <c r="U140" s="21"/>
      <c r="V140" s="116"/>
      <c r="W140" s="116"/>
      <c r="X140" s="116"/>
      <c r="Z140" s="116"/>
      <c r="AA140" s="116"/>
    </row>
    <row r="141" spans="5:27">
      <c r="E141" s="75"/>
      <c r="F141" s="75"/>
      <c r="H141" s="21"/>
      <c r="I141" s="21"/>
      <c r="J141" s="21"/>
      <c r="R141" s="115"/>
      <c r="S141" s="22"/>
      <c r="T141" s="21"/>
      <c r="U141" s="21"/>
      <c r="V141" s="116"/>
      <c r="W141" s="116"/>
      <c r="X141" s="116"/>
      <c r="Z141" s="116"/>
      <c r="AA141" s="116"/>
    </row>
    <row r="142" spans="5:27">
      <c r="E142" s="75"/>
      <c r="F142" s="75"/>
      <c r="H142" s="21"/>
      <c r="I142" s="21"/>
      <c r="J142" s="21"/>
      <c r="R142" s="115"/>
      <c r="S142" s="22"/>
      <c r="T142" s="21"/>
      <c r="U142" s="21"/>
      <c r="V142" s="116"/>
      <c r="W142" s="116"/>
      <c r="X142" s="116"/>
      <c r="Z142" s="116"/>
      <c r="AA142" s="116"/>
    </row>
    <row r="143" spans="5:27">
      <c r="E143" s="75"/>
      <c r="F143" s="75"/>
      <c r="H143" s="21"/>
      <c r="I143" s="21"/>
      <c r="J143" s="21"/>
      <c r="R143" s="115"/>
      <c r="S143" s="22"/>
      <c r="T143" s="21"/>
      <c r="U143" s="21"/>
      <c r="V143" s="116"/>
      <c r="W143" s="116"/>
      <c r="X143" s="116"/>
      <c r="Z143" s="116"/>
      <c r="AA143" s="116"/>
    </row>
    <row r="144" spans="5:27">
      <c r="E144" s="75"/>
      <c r="F144" s="75"/>
      <c r="H144" s="21"/>
      <c r="I144" s="21"/>
      <c r="J144" s="21"/>
      <c r="R144" s="115"/>
      <c r="S144" s="22"/>
      <c r="T144" s="21"/>
      <c r="U144" s="21"/>
      <c r="V144" s="116"/>
      <c r="W144" s="116"/>
      <c r="X144" s="116"/>
      <c r="Z144" s="116"/>
      <c r="AA144" s="116"/>
    </row>
    <row r="145" spans="5:27">
      <c r="E145" s="75"/>
      <c r="F145" s="75"/>
      <c r="H145" s="21"/>
      <c r="I145" s="21"/>
      <c r="J145" s="21"/>
      <c r="R145" s="115"/>
      <c r="S145" s="22"/>
      <c r="T145" s="21"/>
      <c r="U145" s="21"/>
      <c r="V145" s="116"/>
      <c r="W145" s="116"/>
      <c r="X145" s="116"/>
      <c r="Z145" s="116"/>
      <c r="AA145" s="116"/>
    </row>
    <row r="146" spans="5:27">
      <c r="E146" s="75"/>
      <c r="F146" s="75"/>
      <c r="H146" s="21"/>
      <c r="I146" s="21"/>
      <c r="J146" s="21"/>
      <c r="R146" s="115"/>
      <c r="S146" s="22"/>
      <c r="T146" s="21"/>
      <c r="U146" s="21"/>
      <c r="V146" s="116"/>
      <c r="W146" s="116"/>
      <c r="X146" s="116"/>
      <c r="Z146" s="116"/>
      <c r="AA146" s="116"/>
    </row>
    <row r="147" spans="5:27">
      <c r="E147" s="75"/>
      <c r="F147" s="75"/>
      <c r="H147" s="21"/>
      <c r="I147" s="21"/>
      <c r="J147" s="21"/>
      <c r="R147" s="115"/>
      <c r="S147" s="22"/>
      <c r="T147" s="21"/>
      <c r="U147" s="21"/>
      <c r="V147" s="116"/>
      <c r="W147" s="116"/>
      <c r="X147" s="116"/>
      <c r="Z147" s="116"/>
      <c r="AA147" s="116"/>
    </row>
    <row r="148" spans="5:27">
      <c r="E148" s="75"/>
      <c r="F148" s="75"/>
      <c r="H148" s="21"/>
      <c r="I148" s="21"/>
      <c r="J148" s="21"/>
      <c r="R148" s="115"/>
      <c r="S148" s="22"/>
      <c r="T148" s="21"/>
      <c r="U148" s="21"/>
      <c r="V148" s="116"/>
      <c r="W148" s="116"/>
      <c r="X148" s="116"/>
      <c r="Z148" s="116"/>
      <c r="AA148" s="116"/>
    </row>
    <row r="149" spans="5:27">
      <c r="E149" s="75"/>
      <c r="F149" s="75"/>
      <c r="H149" s="21"/>
      <c r="I149" s="21"/>
      <c r="J149" s="21"/>
      <c r="R149" s="115"/>
      <c r="S149" s="22"/>
      <c r="T149" s="21"/>
      <c r="U149" s="21"/>
      <c r="V149" s="116"/>
      <c r="W149" s="116"/>
      <c r="X149" s="116"/>
      <c r="Z149" s="116"/>
      <c r="AA149" s="116"/>
    </row>
    <row r="150" spans="5:27">
      <c r="E150" s="75"/>
      <c r="F150" s="75"/>
      <c r="H150" s="21"/>
      <c r="I150" s="21"/>
      <c r="J150" s="21"/>
      <c r="R150" s="115"/>
      <c r="S150" s="22"/>
      <c r="T150" s="21"/>
      <c r="U150" s="21"/>
      <c r="V150" s="116"/>
      <c r="W150" s="116"/>
      <c r="X150" s="116"/>
      <c r="Z150" s="116"/>
      <c r="AA150" s="116"/>
    </row>
    <row r="151" spans="5:27">
      <c r="E151" s="75"/>
      <c r="F151" s="75"/>
      <c r="H151" s="21"/>
      <c r="I151" s="21"/>
      <c r="J151" s="21"/>
      <c r="R151" s="115"/>
      <c r="S151" s="22"/>
      <c r="T151" s="21"/>
      <c r="U151" s="21"/>
      <c r="V151" s="116"/>
      <c r="W151" s="116"/>
      <c r="X151" s="116"/>
      <c r="Z151" s="116"/>
      <c r="AA151" s="116"/>
    </row>
    <row r="152" spans="5:27">
      <c r="E152" s="75"/>
      <c r="F152" s="75"/>
      <c r="H152" s="21"/>
      <c r="I152" s="21"/>
      <c r="J152" s="21"/>
      <c r="R152" s="115"/>
      <c r="S152" s="22"/>
      <c r="T152" s="21"/>
      <c r="U152" s="21"/>
      <c r="V152" s="116"/>
      <c r="W152" s="116"/>
      <c r="X152" s="116"/>
      <c r="Z152" s="116"/>
      <c r="AA152" s="116"/>
    </row>
    <row r="153" spans="5:27">
      <c r="E153" s="75"/>
      <c r="F153" s="75"/>
      <c r="H153" s="21"/>
      <c r="I153" s="21"/>
      <c r="J153" s="21"/>
      <c r="R153" s="115"/>
      <c r="S153" s="22"/>
      <c r="T153" s="21"/>
      <c r="U153" s="21"/>
      <c r="V153" s="116"/>
      <c r="W153" s="116"/>
      <c r="X153" s="116"/>
      <c r="Z153" s="116"/>
      <c r="AA153" s="116"/>
    </row>
    <row r="154" spans="5:27">
      <c r="E154" s="75"/>
      <c r="F154" s="75"/>
      <c r="H154" s="21"/>
      <c r="I154" s="21"/>
      <c r="J154" s="21"/>
      <c r="R154" s="115"/>
      <c r="S154" s="22"/>
      <c r="T154" s="21"/>
      <c r="U154" s="21"/>
      <c r="V154" s="116"/>
      <c r="W154" s="116"/>
      <c r="X154" s="116"/>
      <c r="Z154" s="116"/>
      <c r="AA154" s="116"/>
    </row>
    <row r="155" spans="5:27">
      <c r="E155" s="75"/>
      <c r="F155" s="75"/>
      <c r="H155" s="21"/>
      <c r="I155" s="21"/>
      <c r="J155" s="21"/>
      <c r="R155" s="115"/>
      <c r="S155" s="22"/>
      <c r="T155" s="21"/>
      <c r="U155" s="21"/>
      <c r="V155" s="116"/>
      <c r="W155" s="116"/>
      <c r="X155" s="116"/>
      <c r="Z155" s="116"/>
      <c r="AA155" s="116"/>
    </row>
    <row r="156" spans="5:27">
      <c r="E156" s="75"/>
      <c r="F156" s="75"/>
      <c r="H156" s="21"/>
      <c r="I156" s="21"/>
      <c r="J156" s="21"/>
      <c r="R156" s="115"/>
      <c r="S156" s="22"/>
      <c r="T156" s="21"/>
      <c r="U156" s="21"/>
      <c r="V156" s="116"/>
      <c r="W156" s="116"/>
      <c r="X156" s="116"/>
      <c r="Z156" s="116"/>
      <c r="AA156" s="116"/>
    </row>
    <row r="157" spans="5:27">
      <c r="E157" s="75"/>
      <c r="F157" s="75"/>
      <c r="H157" s="21"/>
      <c r="I157" s="21"/>
      <c r="J157" s="21"/>
      <c r="R157" s="115"/>
      <c r="S157" s="22"/>
      <c r="T157" s="21"/>
      <c r="U157" s="21"/>
      <c r="V157" s="116"/>
      <c r="W157" s="116"/>
      <c r="X157" s="116"/>
      <c r="Z157" s="116"/>
      <c r="AA157" s="116"/>
    </row>
    <row r="158" spans="5:27">
      <c r="E158" s="75"/>
      <c r="F158" s="75"/>
      <c r="H158" s="21"/>
      <c r="I158" s="21"/>
      <c r="J158" s="21"/>
      <c r="R158" s="115"/>
      <c r="S158" s="22"/>
      <c r="T158" s="21"/>
      <c r="U158" s="21"/>
      <c r="V158" s="116"/>
      <c r="W158" s="116"/>
      <c r="X158" s="116"/>
      <c r="Z158" s="116"/>
      <c r="AA158" s="116"/>
    </row>
    <row r="159" spans="5:27">
      <c r="E159" s="75"/>
      <c r="F159" s="75"/>
      <c r="H159" s="21"/>
      <c r="I159" s="21"/>
      <c r="J159" s="21"/>
      <c r="R159" s="115"/>
      <c r="S159" s="22"/>
      <c r="T159" s="21"/>
      <c r="U159" s="21"/>
      <c r="V159" s="116"/>
      <c r="W159" s="116"/>
      <c r="X159" s="116"/>
      <c r="Z159" s="116"/>
      <c r="AA159" s="116"/>
    </row>
    <row r="160" spans="5:27">
      <c r="E160" s="75"/>
      <c r="F160" s="75"/>
      <c r="H160" s="21"/>
      <c r="I160" s="21"/>
      <c r="J160" s="21"/>
      <c r="R160" s="115"/>
      <c r="S160" s="22"/>
      <c r="T160" s="21"/>
      <c r="U160" s="21"/>
      <c r="V160" s="116"/>
      <c r="W160" s="116"/>
      <c r="X160" s="116"/>
      <c r="Z160" s="116"/>
      <c r="AA160" s="116"/>
    </row>
    <row r="161" spans="5:27">
      <c r="E161" s="75"/>
      <c r="F161" s="75"/>
      <c r="H161" s="21"/>
      <c r="I161" s="21"/>
      <c r="J161" s="21"/>
      <c r="R161" s="115"/>
      <c r="S161" s="22"/>
      <c r="T161" s="21"/>
      <c r="U161" s="21"/>
      <c r="V161" s="116"/>
      <c r="W161" s="116"/>
      <c r="X161" s="116"/>
      <c r="Z161" s="116"/>
      <c r="AA161" s="116"/>
    </row>
    <row r="162" spans="5:27">
      <c r="E162" s="75"/>
      <c r="F162" s="75"/>
      <c r="H162" s="21"/>
      <c r="I162" s="21"/>
      <c r="J162" s="21"/>
      <c r="R162" s="115"/>
      <c r="S162" s="22"/>
      <c r="T162" s="21"/>
      <c r="U162" s="21"/>
      <c r="V162" s="116"/>
      <c r="W162" s="116"/>
      <c r="X162" s="116"/>
      <c r="Z162" s="116"/>
      <c r="AA162" s="116"/>
    </row>
    <row r="163" spans="5:27">
      <c r="E163" s="75"/>
      <c r="F163" s="75"/>
      <c r="H163" s="21"/>
      <c r="I163" s="21"/>
      <c r="J163" s="21"/>
      <c r="R163" s="115"/>
      <c r="S163" s="22"/>
      <c r="T163" s="21"/>
      <c r="U163" s="21"/>
      <c r="V163" s="116"/>
      <c r="W163" s="116"/>
      <c r="X163" s="116"/>
      <c r="Z163" s="116"/>
      <c r="AA163" s="116"/>
    </row>
    <row r="164" spans="5:27">
      <c r="E164" s="75"/>
      <c r="F164" s="75"/>
      <c r="H164" s="21"/>
      <c r="I164" s="21"/>
      <c r="J164" s="21"/>
      <c r="R164" s="115"/>
      <c r="S164" s="22"/>
      <c r="T164" s="21"/>
      <c r="U164" s="21"/>
      <c r="V164" s="116"/>
      <c r="W164" s="116"/>
      <c r="X164" s="116"/>
      <c r="Z164" s="116"/>
      <c r="AA164" s="116"/>
    </row>
    <row r="165" spans="5:27">
      <c r="E165" s="75"/>
      <c r="F165" s="75"/>
      <c r="H165" s="21"/>
      <c r="I165" s="21"/>
      <c r="J165" s="21"/>
      <c r="R165" s="115"/>
      <c r="S165" s="22"/>
      <c r="T165" s="21"/>
      <c r="U165" s="21"/>
      <c r="V165" s="116"/>
      <c r="W165" s="116"/>
      <c r="X165" s="116"/>
      <c r="Z165" s="116"/>
      <c r="AA165" s="116"/>
    </row>
    <row r="166" spans="5:27">
      <c r="E166" s="75"/>
      <c r="F166" s="75"/>
      <c r="H166" s="21"/>
      <c r="I166" s="21"/>
      <c r="J166" s="21"/>
      <c r="R166" s="115"/>
      <c r="S166" s="22"/>
      <c r="T166" s="21"/>
      <c r="U166" s="21"/>
      <c r="V166" s="116"/>
      <c r="W166" s="116"/>
      <c r="X166" s="116"/>
      <c r="Z166" s="116"/>
      <c r="AA166" s="116"/>
    </row>
    <row r="167" spans="5:27">
      <c r="E167" s="75"/>
      <c r="F167" s="75"/>
      <c r="H167" s="21"/>
      <c r="I167" s="21"/>
      <c r="J167" s="21"/>
      <c r="R167" s="115"/>
      <c r="S167" s="22"/>
      <c r="T167" s="21"/>
      <c r="U167" s="21"/>
      <c r="V167" s="116"/>
      <c r="W167" s="116"/>
      <c r="X167" s="116"/>
      <c r="Z167" s="116"/>
      <c r="AA167" s="116"/>
    </row>
    <row r="168" spans="5:27">
      <c r="E168" s="75"/>
      <c r="F168" s="75"/>
      <c r="H168" s="21"/>
      <c r="I168" s="21"/>
      <c r="J168" s="21"/>
      <c r="R168" s="115"/>
      <c r="S168" s="22"/>
      <c r="T168" s="21"/>
      <c r="U168" s="21"/>
      <c r="V168" s="116"/>
      <c r="W168" s="116"/>
      <c r="X168" s="116"/>
      <c r="Z168" s="116"/>
      <c r="AA168" s="116"/>
    </row>
    <row r="169" spans="5:27">
      <c r="E169" s="75"/>
      <c r="F169" s="75"/>
      <c r="H169" s="21"/>
      <c r="I169" s="21"/>
      <c r="J169" s="21"/>
      <c r="R169" s="115"/>
      <c r="S169" s="22"/>
      <c r="T169" s="21"/>
      <c r="U169" s="21"/>
      <c r="V169" s="116"/>
      <c r="W169" s="116"/>
      <c r="X169" s="116"/>
      <c r="Z169" s="116"/>
      <c r="AA169" s="116"/>
    </row>
    <row r="170" spans="5:27">
      <c r="E170" s="75"/>
      <c r="F170" s="75"/>
      <c r="H170" s="21"/>
      <c r="I170" s="21"/>
      <c r="J170" s="21"/>
      <c r="R170" s="115"/>
      <c r="S170" s="22"/>
      <c r="T170" s="21"/>
      <c r="U170" s="21"/>
      <c r="V170" s="116"/>
      <c r="W170" s="116"/>
      <c r="X170" s="116"/>
      <c r="Z170" s="116"/>
      <c r="AA170" s="116"/>
    </row>
    <row r="171" spans="5:27">
      <c r="E171" s="75"/>
      <c r="F171" s="75"/>
      <c r="H171" s="21"/>
      <c r="I171" s="21"/>
      <c r="J171" s="21"/>
      <c r="R171" s="115"/>
      <c r="S171" s="22"/>
      <c r="T171" s="21"/>
      <c r="U171" s="21"/>
      <c r="V171" s="116"/>
      <c r="W171" s="116"/>
      <c r="X171" s="116"/>
      <c r="Z171" s="116"/>
      <c r="AA171" s="116"/>
    </row>
    <row r="172" spans="5:27">
      <c r="E172" s="75"/>
      <c r="F172" s="75"/>
      <c r="H172" s="21"/>
      <c r="I172" s="21"/>
      <c r="J172" s="21"/>
      <c r="R172" s="115"/>
      <c r="S172" s="22"/>
      <c r="T172" s="21"/>
      <c r="U172" s="21"/>
      <c r="V172" s="116"/>
      <c r="W172" s="116"/>
      <c r="X172" s="116"/>
      <c r="Z172" s="116"/>
      <c r="AA172" s="116"/>
    </row>
    <row r="173" spans="5:27">
      <c r="E173" s="75"/>
      <c r="F173" s="75"/>
      <c r="H173" s="21"/>
      <c r="I173" s="21"/>
      <c r="J173" s="21"/>
      <c r="R173" s="115"/>
      <c r="S173" s="22"/>
      <c r="T173" s="21"/>
      <c r="U173" s="21"/>
      <c r="V173" s="116"/>
      <c r="W173" s="116"/>
      <c r="X173" s="116"/>
      <c r="Z173" s="116"/>
      <c r="AA173" s="116"/>
    </row>
    <row r="174" spans="5:27">
      <c r="E174" s="75"/>
      <c r="F174" s="75"/>
      <c r="H174" s="21"/>
      <c r="I174" s="21"/>
      <c r="J174" s="21"/>
      <c r="R174" s="115"/>
      <c r="S174" s="22"/>
      <c r="T174" s="21"/>
      <c r="U174" s="21"/>
      <c r="V174" s="116"/>
      <c r="W174" s="116"/>
      <c r="X174" s="116"/>
      <c r="Z174" s="116"/>
      <c r="AA174" s="116"/>
    </row>
    <row r="175" spans="5:27">
      <c r="E175" s="75"/>
      <c r="F175" s="75"/>
      <c r="H175" s="21"/>
      <c r="I175" s="21"/>
      <c r="J175" s="21"/>
      <c r="R175" s="115"/>
      <c r="S175" s="22"/>
      <c r="T175" s="21"/>
      <c r="U175" s="21"/>
      <c r="V175" s="116"/>
      <c r="W175" s="116"/>
      <c r="X175" s="116"/>
      <c r="Z175" s="116"/>
      <c r="AA175" s="116"/>
    </row>
    <row r="176" spans="5:27">
      <c r="E176" s="75"/>
      <c r="F176" s="75"/>
      <c r="H176" s="21"/>
      <c r="I176" s="21"/>
      <c r="J176" s="21"/>
      <c r="R176" s="115"/>
      <c r="S176" s="22"/>
      <c r="T176" s="21"/>
      <c r="U176" s="21"/>
      <c r="V176" s="116"/>
      <c r="W176" s="116"/>
      <c r="X176" s="116"/>
      <c r="Z176" s="116"/>
      <c r="AA176" s="116"/>
    </row>
    <row r="177" spans="5:27">
      <c r="E177" s="75"/>
      <c r="F177" s="75"/>
      <c r="H177" s="21"/>
      <c r="I177" s="21"/>
      <c r="J177" s="21"/>
      <c r="R177" s="115"/>
      <c r="S177" s="22"/>
      <c r="T177" s="21"/>
      <c r="U177" s="21"/>
      <c r="V177" s="116"/>
      <c r="W177" s="116"/>
      <c r="X177" s="116"/>
      <c r="Z177" s="116"/>
      <c r="AA177" s="116"/>
    </row>
    <row r="178" spans="5:27">
      <c r="E178" s="75"/>
      <c r="F178" s="75"/>
      <c r="H178" s="21"/>
      <c r="I178" s="21"/>
      <c r="J178" s="21"/>
      <c r="R178" s="115"/>
      <c r="S178" s="22"/>
      <c r="T178" s="21"/>
      <c r="U178" s="21"/>
      <c r="V178" s="116"/>
      <c r="W178" s="116"/>
      <c r="X178" s="116"/>
      <c r="Z178" s="116"/>
      <c r="AA178" s="116"/>
    </row>
    <row r="179" spans="5:27">
      <c r="E179" s="75"/>
      <c r="F179" s="75"/>
      <c r="H179" s="21"/>
      <c r="I179" s="21"/>
      <c r="J179" s="21"/>
      <c r="R179" s="115"/>
      <c r="S179" s="22"/>
      <c r="T179" s="21"/>
      <c r="U179" s="21"/>
      <c r="V179" s="116"/>
      <c r="W179" s="116"/>
      <c r="X179" s="116"/>
      <c r="Z179" s="116"/>
      <c r="AA179" s="116"/>
    </row>
    <row r="180" spans="5:27">
      <c r="E180" s="75"/>
      <c r="F180" s="75"/>
      <c r="H180" s="21"/>
      <c r="I180" s="21"/>
      <c r="J180" s="21"/>
      <c r="R180" s="115"/>
      <c r="S180" s="22"/>
      <c r="T180" s="21"/>
      <c r="U180" s="21"/>
      <c r="V180" s="116"/>
      <c r="W180" s="116"/>
      <c r="X180" s="116"/>
      <c r="Z180" s="116"/>
      <c r="AA180" s="116"/>
    </row>
    <row r="181" spans="5:27">
      <c r="E181" s="75"/>
      <c r="F181" s="75"/>
      <c r="H181" s="21"/>
      <c r="I181" s="21"/>
      <c r="J181" s="21"/>
      <c r="R181" s="115"/>
      <c r="S181" s="22"/>
      <c r="T181" s="21"/>
      <c r="U181" s="21"/>
      <c r="V181" s="116"/>
      <c r="W181" s="116"/>
      <c r="X181" s="116"/>
      <c r="Z181" s="116"/>
      <c r="AA181" s="116"/>
    </row>
    <row r="182" spans="5:27">
      <c r="E182" s="75"/>
      <c r="F182" s="75"/>
      <c r="H182" s="21"/>
      <c r="I182" s="21"/>
      <c r="J182" s="21"/>
      <c r="R182" s="115"/>
      <c r="S182" s="22"/>
      <c r="T182" s="21"/>
      <c r="U182" s="21"/>
      <c r="V182" s="116"/>
      <c r="W182" s="116"/>
      <c r="X182" s="116"/>
      <c r="Z182" s="116"/>
      <c r="AA182" s="116"/>
    </row>
    <row r="183" spans="5:27">
      <c r="E183" s="75"/>
      <c r="F183" s="75"/>
      <c r="H183" s="21"/>
      <c r="I183" s="21"/>
      <c r="J183" s="21"/>
      <c r="R183" s="115"/>
      <c r="S183" s="22"/>
      <c r="T183" s="21"/>
      <c r="U183" s="21"/>
      <c r="V183" s="116"/>
      <c r="W183" s="116"/>
      <c r="X183" s="116"/>
      <c r="Z183" s="116"/>
      <c r="AA183" s="116"/>
    </row>
    <row r="184" spans="5:27">
      <c r="E184" s="75"/>
      <c r="F184" s="75"/>
      <c r="H184" s="21"/>
      <c r="I184" s="21"/>
      <c r="J184" s="21"/>
      <c r="R184" s="115"/>
      <c r="S184" s="22"/>
      <c r="T184" s="21"/>
      <c r="U184" s="21"/>
      <c r="V184" s="116"/>
      <c r="W184" s="116"/>
      <c r="X184" s="116"/>
      <c r="Z184" s="116"/>
      <c r="AA184" s="116"/>
    </row>
    <row r="185" spans="5:27">
      <c r="E185" s="75"/>
      <c r="F185" s="75"/>
      <c r="H185" s="21"/>
      <c r="I185" s="21"/>
      <c r="J185" s="21"/>
      <c r="R185" s="115"/>
      <c r="S185" s="22"/>
      <c r="T185" s="21"/>
      <c r="U185" s="21"/>
      <c r="V185" s="116"/>
      <c r="W185" s="116"/>
      <c r="X185" s="116"/>
      <c r="Z185" s="116"/>
      <c r="AA185" s="116"/>
    </row>
    <row r="186" spans="5:27">
      <c r="E186" s="75"/>
      <c r="F186" s="75"/>
      <c r="H186" s="21"/>
      <c r="I186" s="21"/>
      <c r="J186" s="21"/>
      <c r="R186" s="115"/>
      <c r="S186" s="22"/>
      <c r="T186" s="21"/>
      <c r="U186" s="21"/>
      <c r="V186" s="116"/>
      <c r="W186" s="116"/>
      <c r="X186" s="116"/>
      <c r="Z186" s="116"/>
      <c r="AA186" s="116"/>
    </row>
    <row r="187" spans="5:27">
      <c r="E187" s="75"/>
      <c r="F187" s="75"/>
      <c r="H187" s="21"/>
      <c r="I187" s="21"/>
      <c r="J187" s="21"/>
      <c r="R187" s="115"/>
      <c r="S187" s="22"/>
      <c r="T187" s="21"/>
      <c r="U187" s="21"/>
      <c r="V187" s="116"/>
      <c r="W187" s="116"/>
      <c r="X187" s="116"/>
      <c r="Z187" s="116"/>
      <c r="AA187" s="116"/>
    </row>
    <row r="188" spans="5:27">
      <c r="E188" s="75"/>
      <c r="F188" s="75"/>
      <c r="H188" s="21"/>
      <c r="I188" s="21"/>
      <c r="J188" s="21"/>
      <c r="R188" s="115"/>
      <c r="S188" s="22"/>
      <c r="T188" s="21"/>
      <c r="U188" s="21"/>
      <c r="V188" s="116"/>
      <c r="W188" s="116"/>
      <c r="X188" s="116"/>
      <c r="Z188" s="116"/>
      <c r="AA188" s="116"/>
    </row>
    <row r="189" spans="5:27">
      <c r="E189" s="75"/>
      <c r="F189" s="75"/>
      <c r="H189" s="21"/>
      <c r="I189" s="21"/>
      <c r="J189" s="21"/>
      <c r="R189" s="115"/>
      <c r="S189" s="22"/>
      <c r="T189" s="21"/>
      <c r="U189" s="21"/>
      <c r="V189" s="116"/>
      <c r="W189" s="116"/>
      <c r="X189" s="116"/>
      <c r="Z189" s="116"/>
      <c r="AA189" s="116"/>
    </row>
    <row r="190" spans="5:27">
      <c r="E190" s="75"/>
      <c r="F190" s="75"/>
      <c r="H190" s="21"/>
      <c r="I190" s="21"/>
      <c r="J190" s="21"/>
      <c r="R190" s="115"/>
      <c r="S190" s="22"/>
      <c r="T190" s="21"/>
      <c r="U190" s="21"/>
      <c r="V190" s="116"/>
      <c r="W190" s="116"/>
      <c r="X190" s="116"/>
      <c r="Z190" s="116"/>
      <c r="AA190" s="116"/>
    </row>
    <row r="191" spans="5:27">
      <c r="E191" s="75"/>
      <c r="F191" s="75"/>
      <c r="H191" s="21"/>
      <c r="I191" s="21"/>
      <c r="J191" s="21"/>
      <c r="R191" s="115"/>
      <c r="S191" s="22"/>
      <c r="T191" s="21"/>
      <c r="U191" s="21"/>
      <c r="V191" s="116"/>
      <c r="W191" s="116"/>
      <c r="X191" s="116"/>
      <c r="Z191" s="116"/>
      <c r="AA191" s="116"/>
    </row>
    <row r="192" spans="5:27">
      <c r="E192" s="75"/>
      <c r="F192" s="75"/>
      <c r="H192" s="21"/>
      <c r="I192" s="21"/>
      <c r="J192" s="21"/>
      <c r="R192" s="115"/>
      <c r="S192" s="22"/>
      <c r="T192" s="21"/>
      <c r="U192" s="21"/>
      <c r="V192" s="116"/>
      <c r="W192" s="116"/>
      <c r="X192" s="116"/>
      <c r="Z192" s="116"/>
      <c r="AA192" s="116"/>
    </row>
    <row r="193" spans="5:27">
      <c r="E193" s="75"/>
      <c r="F193" s="75"/>
      <c r="H193" s="21"/>
      <c r="I193" s="21"/>
      <c r="J193" s="21"/>
      <c r="R193" s="115"/>
      <c r="S193" s="22"/>
      <c r="T193" s="21"/>
      <c r="U193" s="21"/>
      <c r="V193" s="116"/>
      <c r="W193" s="116"/>
      <c r="X193" s="116"/>
      <c r="Z193" s="116"/>
      <c r="AA193" s="116"/>
    </row>
    <row r="194" spans="5:27">
      <c r="E194" s="75"/>
      <c r="F194" s="75"/>
      <c r="H194" s="21"/>
      <c r="I194" s="21"/>
      <c r="J194" s="21"/>
      <c r="R194" s="115"/>
      <c r="S194" s="22"/>
      <c r="T194" s="21"/>
      <c r="U194" s="21"/>
      <c r="V194" s="116"/>
      <c r="W194" s="116"/>
      <c r="X194" s="116"/>
      <c r="Z194" s="116"/>
      <c r="AA194" s="116"/>
    </row>
    <row r="195" spans="5:27">
      <c r="E195" s="75"/>
      <c r="F195" s="75"/>
      <c r="H195" s="21"/>
      <c r="I195" s="21"/>
      <c r="J195" s="21"/>
      <c r="R195" s="115"/>
      <c r="S195" s="22"/>
      <c r="T195" s="21"/>
      <c r="U195" s="21"/>
      <c r="V195" s="116"/>
      <c r="W195" s="116"/>
      <c r="X195" s="116"/>
      <c r="Z195" s="116"/>
      <c r="AA195" s="116"/>
    </row>
    <row r="196" spans="5:27">
      <c r="E196" s="75"/>
      <c r="F196" s="75"/>
      <c r="H196" s="21"/>
      <c r="I196" s="21"/>
      <c r="J196" s="21"/>
      <c r="R196" s="115"/>
      <c r="S196" s="22"/>
      <c r="T196" s="21"/>
      <c r="U196" s="21"/>
      <c r="V196" s="116"/>
      <c r="W196" s="116"/>
      <c r="X196" s="116"/>
      <c r="Z196" s="116"/>
      <c r="AA196" s="116"/>
    </row>
    <row r="197" spans="5:27">
      <c r="E197" s="75"/>
      <c r="F197" s="75"/>
      <c r="H197" s="21"/>
      <c r="I197" s="21"/>
      <c r="J197" s="21"/>
      <c r="R197" s="115"/>
      <c r="S197" s="22"/>
      <c r="T197" s="21"/>
      <c r="U197" s="21"/>
      <c r="V197" s="116"/>
      <c r="W197" s="116"/>
      <c r="X197" s="116"/>
      <c r="Z197" s="116"/>
      <c r="AA197" s="116"/>
    </row>
    <row r="198" spans="5:27">
      <c r="E198" s="75"/>
      <c r="F198" s="75"/>
      <c r="H198" s="21"/>
      <c r="I198" s="21"/>
      <c r="J198" s="21"/>
      <c r="R198" s="115"/>
      <c r="S198" s="22"/>
      <c r="T198" s="21"/>
      <c r="U198" s="21"/>
      <c r="V198" s="116"/>
      <c r="W198" s="116"/>
      <c r="X198" s="116"/>
      <c r="Z198" s="116"/>
      <c r="AA198" s="116"/>
    </row>
    <row r="199" spans="5:27">
      <c r="E199" s="75"/>
      <c r="F199" s="75"/>
      <c r="H199" s="21"/>
      <c r="I199" s="21"/>
      <c r="J199" s="21"/>
      <c r="R199" s="115"/>
      <c r="S199" s="22"/>
      <c r="T199" s="21"/>
      <c r="U199" s="21"/>
      <c r="V199" s="116"/>
      <c r="W199" s="116"/>
      <c r="X199" s="116"/>
      <c r="Z199" s="116"/>
      <c r="AA199" s="116"/>
    </row>
    <row r="200" spans="5:27">
      <c r="E200" s="75"/>
      <c r="F200" s="75"/>
      <c r="H200" s="21"/>
      <c r="I200" s="21"/>
      <c r="J200" s="21"/>
      <c r="R200" s="115"/>
      <c r="S200" s="22"/>
      <c r="T200" s="21"/>
      <c r="U200" s="21"/>
      <c r="V200" s="116"/>
      <c r="W200" s="116"/>
      <c r="X200" s="116"/>
      <c r="Z200" s="116"/>
      <c r="AA200" s="116"/>
    </row>
    <row r="201" spans="5:27">
      <c r="E201" s="75"/>
      <c r="F201" s="75"/>
      <c r="H201" s="21"/>
      <c r="I201" s="21"/>
      <c r="J201" s="21"/>
      <c r="R201" s="115"/>
      <c r="S201" s="22"/>
      <c r="T201" s="21"/>
      <c r="U201" s="21"/>
      <c r="V201" s="116"/>
      <c r="W201" s="116"/>
      <c r="X201" s="116"/>
      <c r="Z201" s="116"/>
      <c r="AA201" s="116"/>
    </row>
    <row r="202" spans="5:27">
      <c r="E202" s="75"/>
      <c r="F202" s="75"/>
      <c r="H202" s="21"/>
      <c r="I202" s="21"/>
      <c r="J202" s="21"/>
      <c r="R202" s="115"/>
      <c r="S202" s="22"/>
      <c r="T202" s="21"/>
      <c r="U202" s="21"/>
      <c r="V202" s="116"/>
      <c r="W202" s="116"/>
      <c r="X202" s="116"/>
      <c r="Z202" s="116"/>
      <c r="AA202" s="116"/>
    </row>
    <row r="203" spans="5:27">
      <c r="E203" s="75"/>
      <c r="F203" s="75"/>
      <c r="H203" s="21"/>
      <c r="I203" s="21"/>
      <c r="J203" s="21"/>
      <c r="R203" s="115"/>
      <c r="S203" s="22"/>
      <c r="T203" s="21"/>
      <c r="U203" s="21"/>
      <c r="V203" s="116"/>
      <c r="W203" s="116"/>
      <c r="X203" s="116"/>
      <c r="Z203" s="116"/>
      <c r="AA203" s="116"/>
    </row>
    <row r="204" spans="5:27">
      <c r="E204" s="75"/>
      <c r="F204" s="75"/>
      <c r="H204" s="21"/>
      <c r="I204" s="21"/>
      <c r="J204" s="21"/>
      <c r="R204" s="115"/>
      <c r="S204" s="22"/>
      <c r="T204" s="21"/>
      <c r="U204" s="21"/>
      <c r="V204" s="116"/>
      <c r="W204" s="116"/>
      <c r="X204" s="116"/>
      <c r="Z204" s="116"/>
      <c r="AA204" s="116"/>
    </row>
    <row r="205" spans="5:27">
      <c r="E205" s="75"/>
      <c r="F205" s="75"/>
      <c r="H205" s="21"/>
      <c r="I205" s="21"/>
      <c r="J205" s="21"/>
      <c r="R205" s="115"/>
      <c r="S205" s="22"/>
      <c r="T205" s="21"/>
      <c r="U205" s="21"/>
      <c r="V205" s="116"/>
      <c r="W205" s="116"/>
      <c r="X205" s="116"/>
      <c r="Z205" s="116"/>
      <c r="AA205" s="116"/>
    </row>
    <row r="206" spans="5:27">
      <c r="E206" s="75"/>
      <c r="F206" s="75"/>
      <c r="H206" s="21"/>
      <c r="I206" s="21"/>
      <c r="J206" s="21"/>
      <c r="R206" s="115"/>
      <c r="S206" s="22"/>
      <c r="T206" s="21"/>
      <c r="U206" s="21"/>
      <c r="V206" s="116"/>
      <c r="W206" s="116"/>
      <c r="X206" s="116"/>
      <c r="Z206" s="116"/>
      <c r="AA206" s="116"/>
    </row>
    <row r="207" spans="5:27">
      <c r="E207" s="75"/>
      <c r="F207" s="75"/>
      <c r="H207" s="21"/>
      <c r="I207" s="21"/>
      <c r="J207" s="21"/>
      <c r="R207" s="115"/>
      <c r="S207" s="22"/>
      <c r="T207" s="21"/>
      <c r="U207" s="21"/>
      <c r="V207" s="116"/>
      <c r="W207" s="116"/>
      <c r="X207" s="116"/>
      <c r="Z207" s="116"/>
      <c r="AA207" s="116"/>
    </row>
    <row r="208" spans="5:27">
      <c r="E208" s="75"/>
      <c r="F208" s="75"/>
      <c r="H208" s="21"/>
      <c r="I208" s="21"/>
      <c r="J208" s="21"/>
      <c r="R208" s="115"/>
      <c r="S208" s="22"/>
      <c r="T208" s="21"/>
      <c r="U208" s="21"/>
      <c r="V208" s="116"/>
      <c r="W208" s="116"/>
      <c r="X208" s="116"/>
      <c r="Z208" s="116"/>
      <c r="AA208" s="116"/>
    </row>
    <row r="209" spans="5:27">
      <c r="E209" s="75"/>
      <c r="F209" s="75"/>
      <c r="H209" s="21"/>
      <c r="I209" s="21"/>
      <c r="J209" s="21"/>
      <c r="R209" s="115"/>
      <c r="S209" s="22"/>
      <c r="T209" s="21"/>
      <c r="U209" s="21"/>
      <c r="V209" s="116"/>
      <c r="W209" s="116"/>
      <c r="X209" s="116"/>
      <c r="Z209" s="116"/>
      <c r="AA209" s="116"/>
    </row>
    <row r="210" spans="5:27">
      <c r="E210" s="75"/>
      <c r="F210" s="75"/>
      <c r="H210" s="21"/>
      <c r="I210" s="21"/>
      <c r="J210" s="21"/>
      <c r="R210" s="115"/>
      <c r="S210" s="22"/>
      <c r="T210" s="21"/>
      <c r="U210" s="21"/>
      <c r="V210" s="116"/>
      <c r="W210" s="116"/>
      <c r="X210" s="116"/>
      <c r="Z210" s="116"/>
      <c r="AA210" s="116"/>
    </row>
    <row r="211" spans="5:27">
      <c r="E211" s="75"/>
      <c r="F211" s="75"/>
      <c r="H211" s="21"/>
      <c r="I211" s="21"/>
      <c r="J211" s="21"/>
      <c r="R211" s="115"/>
      <c r="S211" s="22"/>
      <c r="T211" s="21"/>
      <c r="U211" s="21"/>
      <c r="V211" s="116"/>
      <c r="W211" s="116"/>
      <c r="X211" s="116"/>
      <c r="Z211" s="116"/>
      <c r="AA211" s="116"/>
    </row>
    <row r="212" spans="5:27">
      <c r="E212" s="75"/>
      <c r="F212" s="75"/>
      <c r="H212" s="21"/>
      <c r="I212" s="21"/>
      <c r="J212" s="21"/>
      <c r="R212" s="115"/>
      <c r="S212" s="22"/>
      <c r="T212" s="21"/>
      <c r="U212" s="21"/>
      <c r="V212" s="116"/>
      <c r="W212" s="116"/>
      <c r="X212" s="116"/>
      <c r="Z212" s="116"/>
      <c r="AA212" s="116"/>
    </row>
    <row r="213" spans="5:27">
      <c r="E213" s="75"/>
      <c r="F213" s="75"/>
      <c r="H213" s="21"/>
      <c r="I213" s="21"/>
      <c r="J213" s="21"/>
      <c r="R213" s="115"/>
      <c r="S213" s="22"/>
      <c r="T213" s="21"/>
      <c r="U213" s="21"/>
      <c r="V213" s="116"/>
      <c r="W213" s="116"/>
      <c r="X213" s="116"/>
      <c r="Z213" s="116"/>
      <c r="AA213" s="116"/>
    </row>
    <row r="214" spans="5:27">
      <c r="E214" s="75"/>
      <c r="F214" s="75"/>
      <c r="H214" s="21"/>
      <c r="I214" s="21"/>
      <c r="J214" s="21"/>
      <c r="R214" s="115"/>
      <c r="S214" s="22"/>
      <c r="T214" s="21"/>
      <c r="U214" s="21"/>
      <c r="V214" s="116"/>
      <c r="W214" s="116"/>
      <c r="X214" s="116"/>
      <c r="Z214" s="116"/>
      <c r="AA214" s="116"/>
    </row>
    <row r="215" spans="5:27">
      <c r="E215" s="75"/>
      <c r="F215" s="75"/>
      <c r="H215" s="21"/>
      <c r="I215" s="21"/>
      <c r="J215" s="21"/>
      <c r="R215" s="115"/>
      <c r="S215" s="22"/>
      <c r="T215" s="21"/>
      <c r="U215" s="21"/>
      <c r="V215" s="116"/>
      <c r="W215" s="116"/>
      <c r="X215" s="116"/>
      <c r="Z215" s="116"/>
      <c r="AA215" s="116"/>
    </row>
    <row r="216" spans="5:27">
      <c r="E216" s="75"/>
      <c r="F216" s="75"/>
      <c r="H216" s="21"/>
      <c r="I216" s="21"/>
      <c r="J216" s="21"/>
      <c r="R216" s="115"/>
      <c r="S216" s="22"/>
      <c r="T216" s="21"/>
      <c r="U216" s="21"/>
      <c r="V216" s="116"/>
      <c r="W216" s="116"/>
      <c r="X216" s="116"/>
      <c r="Z216" s="116"/>
      <c r="AA216" s="116"/>
    </row>
    <row r="217" spans="5:27">
      <c r="E217" s="75"/>
      <c r="F217" s="75"/>
      <c r="H217" s="21"/>
      <c r="I217" s="21"/>
      <c r="J217" s="21"/>
      <c r="R217" s="115"/>
      <c r="S217" s="22"/>
      <c r="T217" s="21"/>
      <c r="U217" s="21"/>
      <c r="V217" s="116"/>
      <c r="W217" s="116"/>
      <c r="X217" s="116"/>
      <c r="Z217" s="116"/>
      <c r="AA217" s="116"/>
    </row>
    <row r="218" spans="5:27">
      <c r="E218" s="75"/>
      <c r="F218" s="75"/>
      <c r="H218" s="21"/>
      <c r="I218" s="21"/>
      <c r="J218" s="21"/>
      <c r="R218" s="115"/>
      <c r="S218" s="22"/>
      <c r="T218" s="21"/>
      <c r="U218" s="21"/>
      <c r="V218" s="116"/>
      <c r="W218" s="116"/>
      <c r="X218" s="116"/>
      <c r="Z218" s="116"/>
      <c r="AA218" s="116"/>
    </row>
    <row r="219" spans="5:27">
      <c r="E219" s="75"/>
      <c r="F219" s="75"/>
      <c r="H219" s="21"/>
      <c r="I219" s="21"/>
      <c r="J219" s="21"/>
      <c r="R219" s="115"/>
      <c r="S219" s="22"/>
      <c r="T219" s="21"/>
      <c r="U219" s="21"/>
      <c r="V219" s="116"/>
      <c r="W219" s="116"/>
      <c r="X219" s="116"/>
      <c r="Z219" s="116"/>
      <c r="AA219" s="116"/>
    </row>
    <row r="220" spans="5:27">
      <c r="E220" s="75"/>
      <c r="F220" s="75"/>
      <c r="H220" s="21"/>
      <c r="I220" s="21"/>
      <c r="J220" s="21"/>
      <c r="R220" s="115"/>
      <c r="S220" s="22"/>
      <c r="T220" s="21"/>
      <c r="U220" s="21"/>
      <c r="V220" s="116"/>
      <c r="W220" s="116"/>
      <c r="X220" s="116"/>
      <c r="Z220" s="116"/>
      <c r="AA220" s="116"/>
    </row>
    <row r="221" spans="5:27">
      <c r="E221" s="75"/>
      <c r="F221" s="75"/>
      <c r="H221" s="21"/>
      <c r="I221" s="21"/>
      <c r="J221" s="21"/>
      <c r="R221" s="115"/>
      <c r="S221" s="22"/>
      <c r="T221" s="21"/>
      <c r="U221" s="21"/>
      <c r="V221" s="116"/>
      <c r="W221" s="116"/>
      <c r="X221" s="116"/>
      <c r="Z221" s="116"/>
      <c r="AA221" s="116"/>
    </row>
    <row r="222" spans="5:27">
      <c r="E222" s="75"/>
      <c r="F222" s="75"/>
      <c r="H222" s="21"/>
      <c r="I222" s="21"/>
      <c r="J222" s="21"/>
      <c r="R222" s="115"/>
      <c r="S222" s="22"/>
      <c r="T222" s="21"/>
      <c r="U222" s="21"/>
      <c r="V222" s="116"/>
      <c r="W222" s="116"/>
      <c r="X222" s="116"/>
      <c r="Z222" s="116"/>
      <c r="AA222" s="116"/>
    </row>
    <row r="223" spans="5:27">
      <c r="E223" s="75"/>
      <c r="F223" s="75"/>
      <c r="H223" s="21"/>
      <c r="I223" s="21"/>
      <c r="J223" s="21"/>
      <c r="R223" s="115"/>
      <c r="S223" s="22"/>
      <c r="T223" s="21"/>
      <c r="U223" s="21"/>
      <c r="V223" s="116"/>
      <c r="W223" s="116"/>
      <c r="X223" s="116"/>
      <c r="Z223" s="116"/>
      <c r="AA223" s="116"/>
    </row>
    <row r="224" spans="5:27">
      <c r="E224" s="75"/>
      <c r="F224" s="75"/>
      <c r="H224" s="21"/>
      <c r="I224" s="21"/>
      <c r="J224" s="21"/>
      <c r="R224" s="115"/>
      <c r="S224" s="22"/>
      <c r="T224" s="21"/>
      <c r="U224" s="21"/>
      <c r="V224" s="116"/>
      <c r="W224" s="116"/>
      <c r="X224" s="116"/>
      <c r="Z224" s="116"/>
      <c r="AA224" s="116"/>
    </row>
    <row r="225" spans="5:27">
      <c r="E225" s="75"/>
      <c r="F225" s="75"/>
      <c r="H225" s="21"/>
      <c r="I225" s="21"/>
      <c r="J225" s="21"/>
      <c r="R225" s="115"/>
      <c r="S225" s="22"/>
      <c r="T225" s="21"/>
      <c r="U225" s="21"/>
      <c r="V225" s="116"/>
      <c r="W225" s="116"/>
      <c r="X225" s="116"/>
      <c r="Z225" s="116"/>
      <c r="AA225" s="116"/>
    </row>
    <row r="226" spans="5:27">
      <c r="E226" s="75"/>
      <c r="F226" s="75"/>
      <c r="H226" s="21"/>
      <c r="I226" s="21"/>
      <c r="J226" s="21"/>
      <c r="R226" s="115"/>
      <c r="S226" s="22"/>
      <c r="T226" s="21"/>
      <c r="U226" s="21"/>
      <c r="V226" s="116"/>
      <c r="W226" s="116"/>
      <c r="X226" s="116"/>
      <c r="Z226" s="116"/>
      <c r="AA226" s="116"/>
    </row>
    <row r="227" spans="5:27">
      <c r="R227" s="114"/>
      <c r="S227" s="114"/>
      <c r="T227" s="20"/>
      <c r="U227" s="20"/>
      <c r="V227" s="20"/>
    </row>
    <row r="228" spans="5:27">
      <c r="R228" s="114"/>
      <c r="S228" s="114"/>
      <c r="T228" s="20"/>
      <c r="U228" s="20"/>
      <c r="V228" s="20"/>
    </row>
    <row r="229" spans="5:27">
      <c r="R229" s="114"/>
      <c r="S229" s="114"/>
      <c r="T229" s="20"/>
      <c r="U229" s="20"/>
      <c r="V229" s="20"/>
    </row>
    <row r="230" spans="5:27">
      <c r="R230" s="114"/>
      <c r="S230" s="114"/>
      <c r="T230" s="20"/>
      <c r="U230" s="20"/>
      <c r="V230" s="20"/>
    </row>
    <row r="231" spans="5:27">
      <c r="R231" s="114"/>
      <c r="S231" s="114"/>
      <c r="T231" s="20"/>
      <c r="U231" s="20"/>
      <c r="V231" s="20"/>
    </row>
    <row r="232" spans="5:27">
      <c r="R232" s="114"/>
      <c r="S232" s="114"/>
      <c r="T232" s="20"/>
      <c r="U232" s="20"/>
      <c r="V232" s="20"/>
    </row>
    <row r="233" spans="5:27">
      <c r="R233" s="114"/>
      <c r="S233" s="114"/>
      <c r="T233" s="20"/>
      <c r="U233" s="20"/>
      <c r="V233" s="20"/>
    </row>
    <row r="234" spans="5:27">
      <c r="R234" s="114"/>
      <c r="S234" s="114"/>
      <c r="T234" s="20"/>
      <c r="U234" s="20"/>
      <c r="V234" s="20"/>
    </row>
    <row r="235" spans="5:27">
      <c r="R235" s="114"/>
      <c r="S235" s="114"/>
      <c r="T235" s="20"/>
      <c r="U235" s="20"/>
      <c r="V235" s="20"/>
    </row>
    <row r="236" spans="5:27">
      <c r="R236" s="114"/>
      <c r="S236" s="114"/>
      <c r="T236" s="20"/>
      <c r="U236" s="20"/>
      <c r="V236" s="20"/>
    </row>
    <row r="237" spans="5:27">
      <c r="R237" s="114"/>
      <c r="S237" s="114"/>
      <c r="T237" s="20"/>
      <c r="U237" s="20"/>
      <c r="V237" s="20"/>
    </row>
    <row r="238" spans="5:27">
      <c r="R238" s="114"/>
      <c r="S238" s="114"/>
      <c r="T238" s="20"/>
      <c r="U238" s="20"/>
      <c r="V238" s="20"/>
    </row>
    <row r="239" spans="5:27">
      <c r="R239" s="114"/>
      <c r="S239" s="114"/>
      <c r="T239" s="20"/>
      <c r="U239" s="20"/>
      <c r="V239" s="20"/>
    </row>
    <row r="240" spans="5:27">
      <c r="R240" s="114"/>
      <c r="S240" s="114"/>
      <c r="T240" s="20"/>
      <c r="U240" s="20"/>
      <c r="V240" s="20"/>
    </row>
    <row r="241" spans="18:22">
      <c r="R241" s="114"/>
      <c r="S241" s="114"/>
      <c r="T241" s="20"/>
      <c r="U241" s="20"/>
      <c r="V241" s="20"/>
    </row>
    <row r="242" spans="18:22">
      <c r="R242" s="114"/>
      <c r="S242" s="114"/>
      <c r="T242" s="20"/>
      <c r="U242" s="20"/>
      <c r="V242" s="20"/>
    </row>
    <row r="243" spans="18:22">
      <c r="R243" s="114"/>
      <c r="S243" s="114"/>
      <c r="T243" s="20"/>
      <c r="U243" s="20"/>
      <c r="V243" s="20"/>
    </row>
    <row r="244" spans="18:22">
      <c r="R244" s="114"/>
      <c r="S244" s="114"/>
      <c r="T244" s="20"/>
      <c r="U244" s="20"/>
      <c r="V244" s="20"/>
    </row>
    <row r="245" spans="18:22">
      <c r="R245" s="114"/>
      <c r="S245" s="114"/>
      <c r="T245" s="20"/>
      <c r="U245" s="20"/>
      <c r="V245" s="20"/>
    </row>
    <row r="246" spans="18:22">
      <c r="R246" s="114"/>
      <c r="S246" s="114"/>
      <c r="T246" s="20"/>
      <c r="U246" s="20"/>
      <c r="V246" s="20"/>
    </row>
    <row r="247" spans="18:22">
      <c r="R247" s="114"/>
      <c r="S247" s="114"/>
      <c r="T247" s="20"/>
      <c r="U247" s="20"/>
      <c r="V247" s="20"/>
    </row>
    <row r="248" spans="18:22">
      <c r="R248" s="114"/>
      <c r="S248" s="114"/>
      <c r="T248" s="20"/>
      <c r="U248" s="20"/>
      <c r="V248" s="20"/>
    </row>
    <row r="249" spans="18:22">
      <c r="R249" s="114"/>
      <c r="S249" s="114"/>
      <c r="T249" s="20"/>
      <c r="U249" s="20"/>
      <c r="V249" s="20"/>
    </row>
    <row r="250" spans="18:22">
      <c r="R250" s="114"/>
      <c r="S250" s="114"/>
      <c r="T250" s="20"/>
      <c r="U250" s="20"/>
      <c r="V250" s="20"/>
    </row>
    <row r="251" spans="18:22">
      <c r="R251" s="114"/>
      <c r="S251" s="114"/>
      <c r="T251" s="20"/>
      <c r="U251" s="20"/>
      <c r="V251" s="20"/>
    </row>
    <row r="252" spans="18:22">
      <c r="R252" s="114"/>
      <c r="S252" s="114"/>
      <c r="T252" s="20"/>
      <c r="U252" s="20"/>
      <c r="V252" s="20"/>
    </row>
    <row r="253" spans="18:22">
      <c r="R253" s="114"/>
      <c r="S253" s="114"/>
      <c r="T253" s="20"/>
      <c r="U253" s="20"/>
      <c r="V253" s="20"/>
    </row>
    <row r="254" spans="18:22">
      <c r="R254" s="114"/>
      <c r="S254" s="114"/>
      <c r="T254" s="20"/>
      <c r="U254" s="20"/>
      <c r="V254" s="20"/>
    </row>
    <row r="255" spans="18:22">
      <c r="R255" s="114"/>
      <c r="S255" s="114"/>
      <c r="T255" s="20"/>
      <c r="U255" s="20"/>
      <c r="V255" s="20"/>
    </row>
    <row r="256" spans="18:22">
      <c r="R256" s="114"/>
      <c r="S256" s="114"/>
      <c r="T256" s="20"/>
      <c r="U256" s="20"/>
      <c r="V256" s="20"/>
    </row>
    <row r="257" spans="18:22">
      <c r="R257" s="114"/>
      <c r="S257" s="114"/>
      <c r="T257" s="20"/>
      <c r="U257" s="20"/>
      <c r="V257" s="20"/>
    </row>
    <row r="258" spans="18:22">
      <c r="R258" s="114"/>
      <c r="S258" s="114"/>
      <c r="T258" s="20"/>
      <c r="U258" s="20"/>
      <c r="V258" s="20"/>
    </row>
    <row r="259" spans="18:22">
      <c r="R259" s="114"/>
      <c r="S259" s="114"/>
      <c r="T259" s="20"/>
      <c r="U259" s="20"/>
      <c r="V259" s="20"/>
    </row>
    <row r="260" spans="18:22">
      <c r="R260" s="114"/>
      <c r="S260" s="114"/>
      <c r="T260" s="20"/>
      <c r="U260" s="20"/>
      <c r="V260" s="20"/>
    </row>
    <row r="261" spans="18:22">
      <c r="R261" s="114"/>
      <c r="S261" s="114"/>
      <c r="T261" s="20"/>
      <c r="U261" s="20"/>
      <c r="V261" s="20"/>
    </row>
    <row r="262" spans="18:22">
      <c r="R262" s="114"/>
      <c r="S262" s="114"/>
      <c r="T262" s="20"/>
      <c r="U262" s="20"/>
      <c r="V262" s="20"/>
    </row>
    <row r="263" spans="18:22">
      <c r="R263" s="114"/>
      <c r="S263" s="114"/>
      <c r="T263" s="20"/>
      <c r="U263" s="20"/>
      <c r="V263" s="20"/>
    </row>
    <row r="264" spans="18:22">
      <c r="R264" s="114"/>
      <c r="S264" s="114"/>
      <c r="T264" s="20"/>
      <c r="U264" s="20"/>
      <c r="V264" s="20"/>
    </row>
    <row r="265" spans="18:22">
      <c r="R265" s="114"/>
      <c r="S265" s="114"/>
      <c r="T265" s="20"/>
      <c r="U265" s="20"/>
      <c r="V265" s="20"/>
    </row>
    <row r="266" spans="18:22">
      <c r="R266" s="114"/>
      <c r="S266" s="114"/>
      <c r="T266" s="20"/>
      <c r="U266" s="20"/>
      <c r="V266" s="20"/>
    </row>
    <row r="267" spans="18:22">
      <c r="R267" s="114"/>
      <c r="S267" s="114"/>
      <c r="T267" s="20"/>
      <c r="U267" s="20"/>
      <c r="V267" s="20"/>
    </row>
    <row r="268" spans="18:22">
      <c r="R268" s="114"/>
      <c r="S268" s="114"/>
      <c r="T268" s="20"/>
      <c r="U268" s="20"/>
      <c r="V268" s="20"/>
    </row>
    <row r="269" spans="18:22">
      <c r="R269" s="114"/>
      <c r="S269" s="114"/>
      <c r="T269" s="20"/>
      <c r="U269" s="20"/>
      <c r="V269" s="20"/>
    </row>
    <row r="270" spans="18:22">
      <c r="R270" s="114"/>
      <c r="S270" s="114"/>
      <c r="T270" s="20"/>
      <c r="U270" s="20"/>
      <c r="V270" s="20"/>
    </row>
    <row r="271" spans="18:22">
      <c r="R271" s="114"/>
      <c r="S271" s="114"/>
      <c r="T271" s="20"/>
      <c r="U271" s="20"/>
      <c r="V271" s="20"/>
    </row>
    <row r="272" spans="18:22">
      <c r="R272" s="114"/>
      <c r="S272" s="114"/>
      <c r="T272" s="20"/>
      <c r="U272" s="20"/>
      <c r="V272" s="20"/>
    </row>
    <row r="273" spans="18:22">
      <c r="R273" s="114"/>
      <c r="S273" s="114"/>
      <c r="T273" s="20"/>
      <c r="U273" s="20"/>
      <c r="V273" s="20"/>
    </row>
    <row r="274" spans="18:22">
      <c r="R274" s="114"/>
      <c r="S274" s="114"/>
      <c r="T274" s="20"/>
      <c r="U274" s="20"/>
      <c r="V274" s="20"/>
    </row>
    <row r="275" spans="18:22">
      <c r="R275" s="114"/>
      <c r="S275" s="114"/>
      <c r="T275" s="20"/>
      <c r="U275" s="20"/>
      <c r="V275" s="20"/>
    </row>
    <row r="276" spans="18:22">
      <c r="R276" s="114"/>
      <c r="S276" s="114"/>
      <c r="T276" s="20"/>
      <c r="U276" s="20"/>
      <c r="V276" s="20"/>
    </row>
    <row r="277" spans="18:22">
      <c r="R277" s="114"/>
      <c r="S277" s="114"/>
      <c r="T277" s="20"/>
      <c r="U277" s="20"/>
      <c r="V277" s="20"/>
    </row>
    <row r="278" spans="18:22">
      <c r="R278" s="114"/>
      <c r="S278" s="114"/>
      <c r="T278" s="20"/>
      <c r="U278" s="20"/>
      <c r="V278" s="20"/>
    </row>
    <row r="279" spans="18:22">
      <c r="R279" s="114"/>
      <c r="S279" s="114"/>
      <c r="T279" s="20"/>
      <c r="U279" s="20"/>
      <c r="V279" s="20"/>
    </row>
    <row r="280" spans="18:22">
      <c r="R280" s="114"/>
      <c r="S280" s="114"/>
      <c r="T280" s="20"/>
      <c r="U280" s="20"/>
      <c r="V280" s="20"/>
    </row>
    <row r="281" spans="18:22">
      <c r="R281" s="114"/>
      <c r="S281" s="114"/>
      <c r="T281" s="20"/>
      <c r="U281" s="20"/>
      <c r="V281" s="20"/>
    </row>
    <row r="282" spans="18:22">
      <c r="R282" s="114"/>
      <c r="S282" s="114"/>
      <c r="T282" s="20"/>
      <c r="U282" s="20"/>
      <c r="V282" s="20"/>
    </row>
    <row r="283" spans="18:22">
      <c r="R283" s="114"/>
      <c r="S283" s="114"/>
      <c r="T283" s="20"/>
      <c r="U283" s="20"/>
      <c r="V283" s="20"/>
    </row>
    <row r="284" spans="18:22">
      <c r="R284" s="114"/>
      <c r="S284" s="114"/>
      <c r="T284" s="20"/>
      <c r="U284" s="20"/>
      <c r="V284" s="20"/>
    </row>
    <row r="285" spans="18:22">
      <c r="R285" s="114"/>
      <c r="S285" s="114"/>
      <c r="T285" s="20"/>
      <c r="U285" s="20"/>
      <c r="V285" s="20"/>
    </row>
    <row r="286" spans="18:22">
      <c r="R286" s="114"/>
      <c r="S286" s="114"/>
      <c r="T286" s="20"/>
      <c r="U286" s="20"/>
      <c r="V286" s="20"/>
    </row>
    <row r="287" spans="18:22">
      <c r="R287" s="114"/>
      <c r="S287" s="114"/>
      <c r="T287" s="20"/>
      <c r="U287" s="20"/>
      <c r="V287" s="20"/>
    </row>
    <row r="288" spans="18:22">
      <c r="R288" s="114"/>
      <c r="S288" s="114"/>
      <c r="T288" s="20"/>
      <c r="U288" s="20"/>
      <c r="V288" s="20"/>
    </row>
    <row r="289" spans="18:22">
      <c r="R289" s="114"/>
      <c r="S289" s="114"/>
      <c r="T289" s="20"/>
      <c r="U289" s="20"/>
      <c r="V289" s="20"/>
    </row>
    <row r="290" spans="18:22">
      <c r="R290" s="114"/>
      <c r="S290" s="114"/>
      <c r="T290" s="20"/>
      <c r="U290" s="20"/>
      <c r="V290" s="20"/>
    </row>
    <row r="291" spans="18:22">
      <c r="R291" s="114"/>
      <c r="S291" s="114"/>
      <c r="T291" s="20"/>
      <c r="U291" s="20"/>
      <c r="V291" s="20"/>
    </row>
    <row r="292" spans="18:22">
      <c r="R292" s="114"/>
      <c r="S292" s="114"/>
      <c r="T292" s="20"/>
      <c r="U292" s="20"/>
      <c r="V292" s="20"/>
    </row>
    <row r="293" spans="18:22">
      <c r="R293" s="114"/>
      <c r="S293" s="114"/>
      <c r="T293" s="20"/>
      <c r="U293" s="20"/>
      <c r="V293" s="20"/>
    </row>
    <row r="294" spans="18:22">
      <c r="R294" s="114"/>
      <c r="S294" s="114"/>
      <c r="T294" s="20"/>
      <c r="U294" s="20"/>
      <c r="V294" s="20"/>
    </row>
    <row r="295" spans="18:22">
      <c r="R295" s="114"/>
      <c r="S295" s="114"/>
      <c r="T295" s="20"/>
      <c r="U295" s="20"/>
      <c r="V295" s="20"/>
    </row>
    <row r="296" spans="18:22">
      <c r="R296" s="114"/>
      <c r="S296" s="114"/>
      <c r="T296" s="20"/>
      <c r="U296" s="20"/>
      <c r="V296" s="20"/>
    </row>
    <row r="297" spans="18:22">
      <c r="R297" s="114"/>
      <c r="S297" s="114"/>
      <c r="T297" s="20"/>
      <c r="U297" s="20"/>
      <c r="V297" s="20"/>
    </row>
    <row r="298" spans="18:22">
      <c r="R298" s="114"/>
      <c r="S298" s="114"/>
      <c r="T298" s="20"/>
      <c r="U298" s="20"/>
      <c r="V298" s="20"/>
    </row>
    <row r="299" spans="18:22">
      <c r="R299" s="114"/>
      <c r="S299" s="114"/>
      <c r="T299" s="20"/>
      <c r="U299" s="20"/>
      <c r="V299" s="20"/>
    </row>
    <row r="300" spans="18:22">
      <c r="R300" s="114"/>
      <c r="S300" s="114"/>
      <c r="T300" s="20"/>
      <c r="U300" s="20"/>
      <c r="V300" s="20"/>
    </row>
    <row r="301" spans="18:22">
      <c r="R301" s="114"/>
      <c r="S301" s="114"/>
      <c r="T301" s="20"/>
      <c r="U301" s="20"/>
      <c r="V301" s="20"/>
    </row>
    <row r="302" spans="18:22">
      <c r="R302" s="114"/>
      <c r="S302" s="114"/>
      <c r="T302" s="20"/>
      <c r="U302" s="20"/>
      <c r="V302" s="20"/>
    </row>
    <row r="303" spans="18:22">
      <c r="R303" s="114"/>
      <c r="S303" s="114"/>
      <c r="T303" s="20"/>
      <c r="U303" s="20"/>
      <c r="V303" s="20"/>
    </row>
    <row r="304" spans="18:22">
      <c r="R304" s="114"/>
      <c r="S304" s="114"/>
      <c r="T304" s="20"/>
      <c r="U304" s="20"/>
      <c r="V304" s="20"/>
    </row>
    <row r="305" spans="18:22">
      <c r="R305" s="114"/>
      <c r="S305" s="114"/>
      <c r="T305" s="20"/>
      <c r="U305" s="20"/>
      <c r="V305" s="20"/>
    </row>
    <row r="306" spans="18:22">
      <c r="R306" s="114"/>
      <c r="S306" s="114"/>
      <c r="T306" s="20"/>
      <c r="U306" s="20"/>
      <c r="V306" s="20"/>
    </row>
    <row r="307" spans="18:22">
      <c r="R307" s="114"/>
      <c r="S307" s="114"/>
      <c r="T307" s="20"/>
      <c r="U307" s="20"/>
      <c r="V307" s="20"/>
    </row>
    <row r="308" spans="18:22">
      <c r="R308" s="114"/>
      <c r="S308" s="114"/>
      <c r="T308" s="20"/>
      <c r="U308" s="20"/>
      <c r="V308" s="20"/>
    </row>
    <row r="309" spans="18:22">
      <c r="R309" s="114"/>
      <c r="S309" s="114"/>
      <c r="T309" s="20"/>
      <c r="U309" s="20"/>
      <c r="V309" s="20"/>
    </row>
    <row r="310" spans="18:22">
      <c r="R310" s="114"/>
      <c r="S310" s="114"/>
      <c r="T310" s="20"/>
      <c r="U310" s="20"/>
      <c r="V310" s="20"/>
    </row>
    <row r="311" spans="18:22">
      <c r="R311" s="114"/>
      <c r="S311" s="114"/>
      <c r="T311" s="20"/>
      <c r="U311" s="20"/>
      <c r="V311" s="20"/>
    </row>
    <row r="312" spans="18:22">
      <c r="R312" s="114"/>
      <c r="S312" s="114"/>
      <c r="T312" s="20"/>
      <c r="U312" s="20"/>
      <c r="V312" s="20"/>
    </row>
    <row r="313" spans="18:22">
      <c r="R313" s="114"/>
      <c r="S313" s="114"/>
      <c r="T313" s="20"/>
      <c r="U313" s="20"/>
      <c r="V313" s="20"/>
    </row>
    <row r="314" spans="18:22">
      <c r="R314" s="114"/>
      <c r="S314" s="114"/>
      <c r="T314" s="20"/>
      <c r="U314" s="20"/>
      <c r="V314" s="20"/>
    </row>
    <row r="315" spans="18:22">
      <c r="R315" s="114"/>
      <c r="S315" s="114"/>
      <c r="T315" s="20"/>
      <c r="U315" s="20"/>
      <c r="V315" s="20"/>
    </row>
    <row r="316" spans="18:22">
      <c r="R316" s="114"/>
      <c r="S316" s="114"/>
      <c r="T316" s="20"/>
      <c r="U316" s="20"/>
      <c r="V316" s="20"/>
    </row>
    <row r="317" spans="18:22">
      <c r="R317" s="114"/>
      <c r="S317" s="114"/>
      <c r="T317" s="20"/>
      <c r="U317" s="20"/>
      <c r="V317" s="20"/>
    </row>
    <row r="318" spans="18:22">
      <c r="R318" s="114"/>
      <c r="S318" s="114"/>
      <c r="T318" s="20"/>
      <c r="U318" s="20"/>
      <c r="V318" s="20"/>
    </row>
    <row r="319" spans="18:22">
      <c r="R319" s="114"/>
      <c r="S319" s="114"/>
      <c r="T319" s="20"/>
      <c r="U319" s="20"/>
      <c r="V319" s="20"/>
    </row>
    <row r="320" spans="18:22">
      <c r="R320" s="114"/>
      <c r="S320" s="114"/>
      <c r="T320" s="20"/>
      <c r="U320" s="20"/>
      <c r="V320" s="20"/>
    </row>
    <row r="321" spans="18:22">
      <c r="R321" s="114"/>
      <c r="S321" s="114"/>
      <c r="T321" s="20"/>
      <c r="U321" s="20"/>
      <c r="V321" s="20"/>
    </row>
    <row r="322" spans="18:22">
      <c r="R322" s="114"/>
      <c r="S322" s="114"/>
      <c r="T322" s="20"/>
      <c r="U322" s="20"/>
      <c r="V322" s="20"/>
    </row>
    <row r="323" spans="18:22">
      <c r="R323" s="114"/>
      <c r="S323" s="114"/>
      <c r="T323" s="20"/>
      <c r="U323" s="20"/>
      <c r="V323" s="20"/>
    </row>
    <row r="324" spans="18:22">
      <c r="R324" s="114"/>
      <c r="S324" s="114"/>
      <c r="T324" s="20"/>
      <c r="U324" s="20"/>
      <c r="V324" s="20"/>
    </row>
    <row r="325" spans="18:22">
      <c r="R325" s="114"/>
      <c r="S325" s="114"/>
      <c r="T325" s="20"/>
      <c r="U325" s="20"/>
      <c r="V325" s="20"/>
    </row>
    <row r="326" spans="18:22">
      <c r="R326" s="114"/>
      <c r="S326" s="114"/>
      <c r="T326" s="20"/>
      <c r="U326" s="20"/>
      <c r="V326" s="20"/>
    </row>
    <row r="327" spans="18:22">
      <c r="R327" s="114"/>
      <c r="S327" s="114"/>
      <c r="T327" s="20"/>
      <c r="U327" s="20"/>
      <c r="V327" s="20"/>
    </row>
    <row r="328" spans="18:22">
      <c r="R328" s="114"/>
      <c r="S328" s="114"/>
      <c r="T328" s="20"/>
      <c r="U328" s="20"/>
      <c r="V328" s="20"/>
    </row>
    <row r="329" spans="18:22">
      <c r="R329" s="114"/>
      <c r="S329" s="114"/>
      <c r="T329" s="20"/>
      <c r="U329" s="20"/>
      <c r="V329" s="20"/>
    </row>
    <row r="330" spans="18:22">
      <c r="R330" s="114"/>
      <c r="S330" s="114"/>
      <c r="T330" s="20"/>
      <c r="U330" s="20"/>
      <c r="V330" s="20"/>
    </row>
    <row r="331" spans="18:22">
      <c r="R331" s="114"/>
      <c r="S331" s="114"/>
      <c r="T331" s="20"/>
      <c r="U331" s="20"/>
      <c r="V331" s="20"/>
    </row>
    <row r="332" spans="18:22">
      <c r="R332" s="114"/>
      <c r="S332" s="114"/>
      <c r="T332" s="20"/>
      <c r="U332" s="20"/>
      <c r="V332" s="20"/>
    </row>
    <row r="333" spans="18:22">
      <c r="R333" s="114"/>
      <c r="S333" s="114"/>
      <c r="T333" s="20"/>
      <c r="U333" s="20"/>
      <c r="V333" s="20"/>
    </row>
    <row r="334" spans="18:22">
      <c r="R334" s="114"/>
      <c r="S334" s="114"/>
      <c r="T334" s="20"/>
      <c r="U334" s="20"/>
      <c r="V334" s="20"/>
    </row>
    <row r="335" spans="18:22">
      <c r="R335" s="114"/>
      <c r="S335" s="114"/>
      <c r="T335" s="20"/>
      <c r="U335" s="20"/>
      <c r="V335" s="20"/>
    </row>
    <row r="336" spans="18:22">
      <c r="R336" s="114"/>
      <c r="S336" s="114"/>
      <c r="T336" s="20"/>
      <c r="U336" s="20"/>
      <c r="V336" s="20"/>
    </row>
    <row r="337" spans="18:22">
      <c r="R337" s="114"/>
      <c r="S337" s="114"/>
      <c r="T337" s="20"/>
      <c r="U337" s="20"/>
      <c r="V337" s="20"/>
    </row>
    <row r="338" spans="18:22">
      <c r="R338" s="114"/>
      <c r="S338" s="114"/>
      <c r="T338" s="20"/>
      <c r="U338" s="20"/>
      <c r="V338" s="20"/>
    </row>
    <row r="339" spans="18:22">
      <c r="R339" s="114"/>
      <c r="S339" s="114"/>
      <c r="T339" s="20"/>
      <c r="U339" s="20"/>
      <c r="V339" s="20"/>
    </row>
    <row r="340" spans="18:22">
      <c r="R340" s="114"/>
      <c r="S340" s="114"/>
      <c r="T340" s="20"/>
      <c r="U340" s="20"/>
      <c r="V340" s="20"/>
    </row>
    <row r="341" spans="18:22">
      <c r="R341" s="114"/>
      <c r="S341" s="114"/>
      <c r="T341" s="20"/>
      <c r="U341" s="20"/>
      <c r="V341" s="20"/>
    </row>
    <row r="342" spans="18:22">
      <c r="R342" s="114"/>
      <c r="S342" s="114"/>
      <c r="T342" s="20"/>
      <c r="U342" s="20"/>
      <c r="V342" s="20"/>
    </row>
    <row r="343" spans="18:22">
      <c r="R343" s="114"/>
      <c r="S343" s="114"/>
      <c r="T343" s="20"/>
      <c r="U343" s="20"/>
      <c r="V343" s="20"/>
    </row>
    <row r="344" spans="18:22">
      <c r="R344" s="114"/>
      <c r="S344" s="114"/>
      <c r="T344" s="20"/>
      <c r="U344" s="20"/>
      <c r="V344" s="20"/>
    </row>
    <row r="345" spans="18:22">
      <c r="R345" s="114"/>
      <c r="S345" s="114"/>
      <c r="T345" s="20"/>
      <c r="U345" s="20"/>
      <c r="V345" s="20"/>
    </row>
    <row r="346" spans="18:22">
      <c r="R346" s="114"/>
      <c r="S346" s="114"/>
      <c r="T346" s="20"/>
      <c r="U346" s="20"/>
      <c r="V346" s="20"/>
    </row>
    <row r="347" spans="18:22">
      <c r="R347" s="114"/>
      <c r="S347" s="114"/>
      <c r="T347" s="20"/>
      <c r="U347" s="20"/>
      <c r="V347" s="20"/>
    </row>
    <row r="348" spans="18:22">
      <c r="R348" s="114"/>
      <c r="S348" s="114"/>
      <c r="T348" s="20"/>
      <c r="U348" s="20"/>
      <c r="V348" s="20"/>
    </row>
    <row r="349" spans="18:22">
      <c r="R349" s="114"/>
      <c r="S349" s="114"/>
      <c r="T349" s="20"/>
      <c r="U349" s="20"/>
      <c r="V349" s="20"/>
    </row>
    <row r="350" spans="18:22">
      <c r="R350" s="114"/>
      <c r="S350" s="114"/>
      <c r="T350" s="20"/>
      <c r="U350" s="20"/>
      <c r="V350" s="20"/>
    </row>
    <row r="351" spans="18:22">
      <c r="R351" s="114"/>
      <c r="S351" s="114"/>
      <c r="T351" s="20"/>
      <c r="U351" s="20"/>
      <c r="V351" s="20"/>
    </row>
    <row r="352" spans="18:22">
      <c r="R352" s="114"/>
      <c r="S352" s="114"/>
      <c r="T352" s="20"/>
      <c r="U352" s="20"/>
      <c r="V352" s="20"/>
    </row>
    <row r="353" spans="18:22">
      <c r="R353" s="114"/>
      <c r="S353" s="114"/>
      <c r="T353" s="20"/>
      <c r="U353" s="20"/>
      <c r="V353" s="20"/>
    </row>
    <row r="354" spans="18:22">
      <c r="R354" s="114"/>
      <c r="S354" s="114"/>
      <c r="T354" s="20"/>
      <c r="U354" s="20"/>
      <c r="V354" s="20"/>
    </row>
    <row r="355" spans="18:22">
      <c r="R355" s="114"/>
      <c r="S355" s="114"/>
      <c r="T355" s="20"/>
      <c r="U355" s="20"/>
      <c r="V355" s="20"/>
    </row>
    <row r="356" spans="18:22">
      <c r="R356" s="114"/>
      <c r="S356" s="114"/>
      <c r="T356" s="20"/>
      <c r="U356" s="20"/>
      <c r="V356" s="20"/>
    </row>
    <row r="357" spans="18:22">
      <c r="R357" s="114"/>
      <c r="S357" s="114"/>
      <c r="T357" s="20"/>
      <c r="U357" s="20"/>
      <c r="V357" s="20"/>
    </row>
    <row r="358" spans="18:22">
      <c r="R358" s="114"/>
      <c r="S358" s="114"/>
      <c r="T358" s="20"/>
      <c r="U358" s="20"/>
      <c r="V358" s="20"/>
    </row>
    <row r="359" spans="18:22">
      <c r="R359" s="114"/>
      <c r="S359" s="114"/>
      <c r="T359" s="20"/>
      <c r="U359" s="20"/>
      <c r="V359" s="20"/>
    </row>
    <row r="360" spans="18:22">
      <c r="R360" s="114"/>
      <c r="S360" s="114"/>
      <c r="T360" s="20"/>
      <c r="U360" s="20"/>
      <c r="V360" s="20"/>
    </row>
    <row r="361" spans="18:22">
      <c r="R361" s="114"/>
      <c r="S361" s="114"/>
      <c r="T361" s="20"/>
      <c r="U361" s="20"/>
      <c r="V361" s="20"/>
    </row>
    <row r="362" spans="18:22">
      <c r="R362" s="114"/>
      <c r="S362" s="114"/>
      <c r="T362" s="20"/>
      <c r="U362" s="20"/>
      <c r="V362" s="20"/>
    </row>
    <row r="363" spans="18:22">
      <c r="R363" s="114"/>
      <c r="S363" s="114"/>
      <c r="T363" s="20"/>
      <c r="U363" s="20"/>
      <c r="V363" s="20"/>
    </row>
    <row r="364" spans="18:22">
      <c r="R364" s="114"/>
      <c r="S364" s="114"/>
      <c r="T364" s="20"/>
      <c r="U364" s="20"/>
      <c r="V364" s="20"/>
    </row>
    <row r="365" spans="18:22">
      <c r="R365" s="114"/>
      <c r="S365" s="114"/>
      <c r="T365" s="20"/>
      <c r="U365" s="20"/>
      <c r="V365" s="20"/>
    </row>
    <row r="366" spans="18:22">
      <c r="R366" s="114"/>
      <c r="S366" s="114"/>
      <c r="T366" s="20"/>
      <c r="U366" s="20"/>
      <c r="V366" s="20"/>
    </row>
    <row r="367" spans="18:22">
      <c r="R367" s="114"/>
      <c r="S367" s="114"/>
      <c r="T367" s="20"/>
      <c r="U367" s="20"/>
      <c r="V367" s="20"/>
    </row>
    <row r="368" spans="18:22">
      <c r="R368" s="114"/>
      <c r="S368" s="114"/>
      <c r="T368" s="20"/>
      <c r="U368" s="20"/>
      <c r="V368" s="20"/>
    </row>
    <row r="369" spans="18:22">
      <c r="R369" s="114"/>
      <c r="S369" s="114"/>
      <c r="T369" s="20"/>
      <c r="U369" s="20"/>
      <c r="V369" s="20"/>
    </row>
    <row r="370" spans="18:22">
      <c r="R370" s="114"/>
      <c r="S370" s="114"/>
      <c r="T370" s="20"/>
      <c r="U370" s="20"/>
      <c r="V370" s="20"/>
    </row>
    <row r="371" spans="18:22">
      <c r="R371" s="114"/>
      <c r="S371" s="114"/>
      <c r="T371" s="20"/>
      <c r="U371" s="20"/>
      <c r="V371" s="20"/>
    </row>
    <row r="372" spans="18:22">
      <c r="R372" s="114"/>
      <c r="S372" s="114"/>
      <c r="T372" s="20"/>
      <c r="U372" s="20"/>
      <c r="V372" s="20"/>
    </row>
    <row r="373" spans="18:22">
      <c r="R373" s="114"/>
      <c r="S373" s="114"/>
      <c r="T373" s="20"/>
      <c r="U373" s="20"/>
      <c r="V373" s="20"/>
    </row>
    <row r="374" spans="18:22">
      <c r="R374" s="114"/>
      <c r="S374" s="114"/>
      <c r="T374" s="20"/>
      <c r="U374" s="20"/>
      <c r="V374" s="20"/>
    </row>
    <row r="375" spans="18:22">
      <c r="R375" s="114"/>
      <c r="S375" s="114"/>
      <c r="T375" s="20"/>
      <c r="U375" s="20"/>
      <c r="V375" s="20"/>
    </row>
    <row r="376" spans="18:22">
      <c r="R376" s="114"/>
      <c r="S376" s="114"/>
      <c r="T376" s="20"/>
      <c r="U376" s="20"/>
      <c r="V376" s="20"/>
    </row>
    <row r="377" spans="18:22">
      <c r="R377" s="114"/>
      <c r="S377" s="114"/>
      <c r="T377" s="20"/>
      <c r="U377" s="20"/>
      <c r="V377" s="20"/>
    </row>
    <row r="378" spans="18:22">
      <c r="R378" s="114"/>
      <c r="S378" s="114"/>
      <c r="T378" s="20"/>
      <c r="U378" s="20"/>
      <c r="V378" s="20"/>
    </row>
    <row r="379" spans="18:22">
      <c r="R379" s="114"/>
      <c r="S379" s="114"/>
      <c r="T379" s="20"/>
      <c r="U379" s="20"/>
      <c r="V379" s="20"/>
    </row>
    <row r="380" spans="18:22">
      <c r="R380" s="114"/>
      <c r="S380" s="114"/>
      <c r="T380" s="20"/>
      <c r="U380" s="20"/>
      <c r="V380" s="20"/>
    </row>
    <row r="381" spans="18:22">
      <c r="R381" s="114"/>
      <c r="S381" s="114"/>
      <c r="T381" s="20"/>
      <c r="U381" s="20"/>
      <c r="V381" s="20"/>
    </row>
    <row r="382" spans="18:22">
      <c r="R382" s="114"/>
      <c r="S382" s="114"/>
      <c r="T382" s="20"/>
      <c r="U382" s="20"/>
      <c r="V382" s="20"/>
    </row>
    <row r="383" spans="18:22">
      <c r="R383" s="114"/>
      <c r="S383" s="114"/>
      <c r="T383" s="20"/>
      <c r="U383" s="20"/>
      <c r="V383" s="20"/>
    </row>
    <row r="384" spans="18:22">
      <c r="R384" s="114"/>
      <c r="S384" s="114"/>
      <c r="T384" s="20"/>
      <c r="U384" s="20"/>
      <c r="V384" s="20"/>
    </row>
    <row r="385" spans="18:22">
      <c r="R385" s="114"/>
      <c r="S385" s="114"/>
      <c r="T385" s="20"/>
      <c r="U385" s="20"/>
      <c r="V385" s="20"/>
    </row>
    <row r="386" spans="18:22">
      <c r="R386" s="114"/>
      <c r="S386" s="114"/>
      <c r="T386" s="20"/>
      <c r="U386" s="20"/>
      <c r="V386" s="20"/>
    </row>
    <row r="387" spans="18:22">
      <c r="R387" s="114"/>
      <c r="S387" s="114"/>
      <c r="T387" s="20"/>
      <c r="U387" s="20"/>
      <c r="V387" s="20"/>
    </row>
    <row r="388" spans="18:22">
      <c r="R388" s="114"/>
      <c r="S388" s="114"/>
      <c r="T388" s="20"/>
      <c r="U388" s="20"/>
      <c r="V388" s="20"/>
    </row>
    <row r="389" spans="18:22">
      <c r="R389" s="114"/>
      <c r="S389" s="114"/>
      <c r="T389" s="20"/>
      <c r="U389" s="20"/>
      <c r="V389" s="20"/>
    </row>
    <row r="390" spans="18:22">
      <c r="R390" s="114"/>
      <c r="S390" s="114"/>
      <c r="T390" s="20"/>
      <c r="U390" s="20"/>
      <c r="V390" s="20"/>
    </row>
    <row r="391" spans="18:22">
      <c r="R391" s="114"/>
      <c r="S391" s="114"/>
      <c r="T391" s="20"/>
      <c r="U391" s="20"/>
      <c r="V391" s="20"/>
    </row>
    <row r="392" spans="18:22">
      <c r="R392" s="114"/>
      <c r="S392" s="114"/>
      <c r="T392" s="20"/>
      <c r="U392" s="20"/>
      <c r="V392" s="20"/>
    </row>
    <row r="393" spans="18:22">
      <c r="R393" s="114"/>
      <c r="S393" s="114"/>
      <c r="T393" s="20"/>
      <c r="U393" s="20"/>
      <c r="V393" s="20"/>
    </row>
    <row r="394" spans="18:22">
      <c r="R394" s="114"/>
      <c r="S394" s="114"/>
      <c r="T394" s="20"/>
      <c r="U394" s="20"/>
      <c r="V394" s="20"/>
    </row>
    <row r="395" spans="18:22">
      <c r="R395" s="114"/>
      <c r="S395" s="114"/>
      <c r="T395" s="20"/>
      <c r="U395" s="20"/>
      <c r="V395" s="20"/>
    </row>
    <row r="396" spans="18:22">
      <c r="R396" s="114"/>
      <c r="S396" s="114"/>
      <c r="T396" s="20"/>
      <c r="U396" s="20"/>
      <c r="V396" s="20"/>
    </row>
    <row r="397" spans="18:22">
      <c r="R397" s="114"/>
      <c r="S397" s="114"/>
      <c r="T397" s="20"/>
      <c r="U397" s="20"/>
      <c r="V397" s="20"/>
    </row>
    <row r="398" spans="18:22">
      <c r="R398" s="114"/>
      <c r="S398" s="114"/>
      <c r="T398" s="20"/>
      <c r="U398" s="20"/>
      <c r="V398" s="20"/>
    </row>
    <row r="399" spans="18:22">
      <c r="R399" s="114"/>
      <c r="S399" s="114"/>
      <c r="T399" s="20"/>
      <c r="U399" s="20"/>
      <c r="V399" s="20"/>
    </row>
    <row r="400" spans="18:22">
      <c r="R400" s="114"/>
      <c r="S400" s="114"/>
      <c r="T400" s="20"/>
      <c r="U400" s="20"/>
      <c r="V400" s="20"/>
    </row>
    <row r="401" spans="18:22">
      <c r="R401" s="114"/>
      <c r="S401" s="114"/>
      <c r="T401" s="20"/>
      <c r="U401" s="20"/>
      <c r="V401" s="20"/>
    </row>
    <row r="402" spans="18:22">
      <c r="R402" s="114"/>
      <c r="S402" s="114"/>
      <c r="T402" s="20"/>
      <c r="U402" s="20"/>
      <c r="V402" s="20"/>
    </row>
    <row r="403" spans="18:22">
      <c r="R403" s="114"/>
      <c r="S403" s="114"/>
      <c r="T403" s="20"/>
      <c r="U403" s="20"/>
      <c r="V403" s="20"/>
    </row>
    <row r="404" spans="18:22">
      <c r="R404" s="114"/>
      <c r="S404" s="114"/>
      <c r="T404" s="20"/>
      <c r="U404" s="20"/>
      <c r="V404" s="20"/>
    </row>
    <row r="405" spans="18:22">
      <c r="R405" s="114"/>
      <c r="S405" s="114"/>
      <c r="T405" s="20"/>
      <c r="U405" s="20"/>
      <c r="V405" s="20"/>
    </row>
    <row r="406" spans="18:22">
      <c r="R406" s="114"/>
      <c r="S406" s="114"/>
      <c r="T406" s="20"/>
      <c r="U406" s="20"/>
      <c r="V406" s="20"/>
    </row>
    <row r="407" spans="18:22">
      <c r="R407" s="114"/>
      <c r="S407" s="114"/>
      <c r="T407" s="20"/>
      <c r="U407" s="20"/>
      <c r="V407" s="20"/>
    </row>
    <row r="408" spans="18:22">
      <c r="R408" s="114"/>
      <c r="S408" s="114"/>
      <c r="T408" s="20"/>
      <c r="U408" s="20"/>
      <c r="V408" s="20"/>
    </row>
    <row r="409" spans="18:22">
      <c r="R409" s="114"/>
      <c r="S409" s="114"/>
      <c r="T409" s="20"/>
      <c r="U409" s="20"/>
      <c r="V409" s="20"/>
    </row>
    <row r="410" spans="18:22">
      <c r="R410" s="114"/>
      <c r="S410" s="114"/>
      <c r="T410" s="20"/>
      <c r="U410" s="20"/>
      <c r="V410" s="20"/>
    </row>
    <row r="411" spans="18:22">
      <c r="R411" s="114"/>
      <c r="S411" s="114"/>
      <c r="T411" s="20"/>
      <c r="U411" s="20"/>
      <c r="V411" s="20"/>
    </row>
    <row r="412" spans="18:22">
      <c r="R412" s="114"/>
      <c r="S412" s="114"/>
      <c r="T412" s="20"/>
      <c r="U412" s="20"/>
      <c r="V412" s="20"/>
    </row>
    <row r="413" spans="18:22">
      <c r="R413" s="114"/>
      <c r="S413" s="114"/>
      <c r="T413" s="20"/>
      <c r="U413" s="20"/>
      <c r="V413" s="20"/>
    </row>
    <row r="414" spans="18:22">
      <c r="R414" s="114"/>
      <c r="S414" s="114"/>
      <c r="T414" s="20"/>
      <c r="U414" s="20"/>
      <c r="V414" s="20"/>
    </row>
    <row r="415" spans="18:22">
      <c r="R415" s="114"/>
      <c r="S415" s="114"/>
      <c r="T415" s="20"/>
      <c r="U415" s="20"/>
      <c r="V415" s="20"/>
    </row>
    <row r="416" spans="18:22">
      <c r="R416" s="114"/>
      <c r="S416" s="114"/>
      <c r="T416" s="20"/>
      <c r="U416" s="20"/>
      <c r="V416" s="20"/>
    </row>
    <row r="417" spans="18:22">
      <c r="R417" s="114"/>
      <c r="S417" s="114"/>
      <c r="T417" s="20"/>
      <c r="U417" s="20"/>
      <c r="V417" s="20"/>
    </row>
    <row r="418" spans="18:22">
      <c r="R418" s="114"/>
      <c r="S418" s="114"/>
      <c r="T418" s="20"/>
      <c r="U418" s="20"/>
      <c r="V418" s="20"/>
    </row>
    <row r="419" spans="18:22">
      <c r="R419" s="114"/>
      <c r="S419" s="114"/>
      <c r="T419" s="20"/>
      <c r="U419" s="20"/>
      <c r="V419" s="20"/>
    </row>
    <row r="420" spans="18:22">
      <c r="R420" s="114"/>
      <c r="S420" s="114"/>
      <c r="T420" s="20"/>
      <c r="U420" s="20"/>
      <c r="V420" s="20"/>
    </row>
    <row r="421" spans="18:22">
      <c r="R421" s="114"/>
      <c r="S421" s="114"/>
      <c r="T421" s="20"/>
      <c r="U421" s="20"/>
      <c r="V421" s="20"/>
    </row>
    <row r="422" spans="18:22">
      <c r="R422" s="114"/>
      <c r="S422" s="114"/>
      <c r="T422" s="20"/>
      <c r="U422" s="20"/>
      <c r="V422" s="20"/>
    </row>
    <row r="423" spans="18:22">
      <c r="R423" s="114"/>
      <c r="S423" s="114"/>
      <c r="T423" s="20"/>
      <c r="U423" s="20"/>
      <c r="V423" s="20"/>
    </row>
    <row r="424" spans="18:22">
      <c r="R424" s="114"/>
      <c r="S424" s="114"/>
      <c r="T424" s="20"/>
      <c r="U424" s="20"/>
      <c r="V424" s="20"/>
    </row>
    <row r="425" spans="18:22">
      <c r="R425" s="114"/>
      <c r="S425" s="114"/>
      <c r="T425" s="20"/>
      <c r="U425" s="20"/>
      <c r="V425" s="20"/>
    </row>
    <row r="426" spans="18:22">
      <c r="R426" s="114"/>
      <c r="S426" s="114"/>
      <c r="T426" s="20"/>
      <c r="U426" s="20"/>
      <c r="V426" s="20"/>
    </row>
    <row r="427" spans="18:22">
      <c r="R427" s="114"/>
      <c r="S427" s="114"/>
      <c r="T427" s="20"/>
      <c r="U427" s="20"/>
      <c r="V427" s="20"/>
    </row>
    <row r="428" spans="18:22">
      <c r="R428" s="114"/>
      <c r="S428" s="114"/>
      <c r="T428" s="20"/>
      <c r="U428" s="20"/>
      <c r="V428" s="20"/>
    </row>
    <row r="429" spans="18:22">
      <c r="R429" s="114"/>
      <c r="S429" s="114"/>
      <c r="T429" s="20"/>
      <c r="U429" s="20"/>
      <c r="V429" s="20"/>
    </row>
    <row r="430" spans="18:22">
      <c r="R430" s="114"/>
      <c r="S430" s="114"/>
      <c r="T430" s="20"/>
      <c r="U430" s="20"/>
      <c r="V430" s="20"/>
    </row>
    <row r="431" spans="18:22">
      <c r="R431" s="114"/>
      <c r="S431" s="114"/>
      <c r="T431" s="20"/>
      <c r="U431" s="20"/>
      <c r="V431" s="20"/>
    </row>
    <row r="432" spans="18:22">
      <c r="R432" s="114"/>
      <c r="S432" s="114"/>
      <c r="T432" s="20"/>
      <c r="U432" s="20"/>
      <c r="V432" s="20"/>
    </row>
    <row r="433" spans="18:22">
      <c r="R433" s="114"/>
      <c r="S433" s="114"/>
      <c r="T433" s="20"/>
      <c r="U433" s="20"/>
      <c r="V433" s="20"/>
    </row>
    <row r="434" spans="18:22">
      <c r="R434" s="114"/>
      <c r="S434" s="114"/>
      <c r="T434" s="20"/>
      <c r="U434" s="20"/>
      <c r="V434" s="20"/>
    </row>
    <row r="435" spans="18:22">
      <c r="R435" s="114"/>
      <c r="S435" s="114"/>
      <c r="T435" s="20"/>
      <c r="U435" s="20"/>
      <c r="V435" s="20"/>
    </row>
    <row r="436" spans="18:22">
      <c r="R436" s="114"/>
      <c r="S436" s="114"/>
      <c r="T436" s="20"/>
      <c r="U436" s="20"/>
      <c r="V436" s="20"/>
    </row>
    <row r="437" spans="18:22">
      <c r="R437" s="114"/>
      <c r="S437" s="114"/>
      <c r="T437" s="20"/>
      <c r="U437" s="20"/>
      <c r="V437" s="20"/>
    </row>
    <row r="438" spans="18:22">
      <c r="R438" s="114"/>
      <c r="S438" s="114"/>
      <c r="T438" s="20"/>
      <c r="U438" s="20"/>
      <c r="V438" s="20"/>
    </row>
    <row r="439" spans="18:22">
      <c r="R439" s="114"/>
      <c r="S439" s="114"/>
      <c r="T439" s="20"/>
      <c r="U439" s="20"/>
      <c r="V439" s="20"/>
    </row>
    <row r="440" spans="18:22">
      <c r="R440" s="114"/>
      <c r="S440" s="114"/>
      <c r="T440" s="20"/>
      <c r="U440" s="20"/>
      <c r="V440" s="20"/>
    </row>
    <row r="441" spans="18:22">
      <c r="R441" s="114"/>
      <c r="S441" s="114"/>
      <c r="T441" s="20"/>
      <c r="U441" s="20"/>
      <c r="V441" s="20"/>
    </row>
    <row r="442" spans="18:22">
      <c r="R442" s="114"/>
      <c r="S442" s="114"/>
      <c r="T442" s="20"/>
      <c r="U442" s="20"/>
      <c r="V442" s="20"/>
    </row>
    <row r="443" spans="18:22">
      <c r="R443" s="114"/>
      <c r="S443" s="114"/>
      <c r="T443" s="20"/>
      <c r="U443" s="20"/>
      <c r="V443" s="20"/>
    </row>
    <row r="444" spans="18:22">
      <c r="R444" s="114"/>
      <c r="S444" s="114"/>
      <c r="T444" s="20"/>
      <c r="U444" s="20"/>
      <c r="V444" s="20"/>
    </row>
    <row r="445" spans="18:22">
      <c r="R445" s="114"/>
      <c r="S445" s="114"/>
      <c r="T445" s="20"/>
      <c r="U445" s="20"/>
      <c r="V445" s="20"/>
    </row>
    <row r="446" spans="18:22">
      <c r="R446" s="114"/>
      <c r="S446" s="114"/>
      <c r="T446" s="20"/>
      <c r="U446" s="20"/>
      <c r="V446" s="20"/>
    </row>
    <row r="447" spans="18:22">
      <c r="R447" s="114"/>
      <c r="S447" s="114"/>
      <c r="T447" s="20"/>
      <c r="U447" s="20"/>
      <c r="V447" s="20"/>
    </row>
    <row r="448" spans="18:22">
      <c r="R448" s="114"/>
      <c r="S448" s="114"/>
      <c r="T448" s="20"/>
      <c r="U448" s="20"/>
      <c r="V448" s="20"/>
    </row>
    <row r="449" spans="18:22">
      <c r="R449" s="114"/>
      <c r="S449" s="114"/>
      <c r="T449" s="20"/>
      <c r="U449" s="20"/>
      <c r="V449" s="20"/>
    </row>
    <row r="450" spans="18:22">
      <c r="R450" s="114"/>
      <c r="S450" s="114"/>
      <c r="T450" s="20"/>
      <c r="U450" s="20"/>
      <c r="V450" s="20"/>
    </row>
    <row r="451" spans="18:22">
      <c r="R451" s="114"/>
      <c r="S451" s="114"/>
      <c r="T451" s="20"/>
      <c r="U451" s="20"/>
      <c r="V451" s="20"/>
    </row>
    <row r="452" spans="18:22">
      <c r="R452" s="114"/>
      <c r="S452" s="114"/>
      <c r="T452" s="20"/>
      <c r="U452" s="20"/>
      <c r="V452" s="20"/>
    </row>
    <row r="453" spans="18:22">
      <c r="R453" s="114"/>
      <c r="S453" s="114"/>
      <c r="T453" s="20"/>
      <c r="U453" s="20"/>
      <c r="V453" s="20"/>
    </row>
    <row r="454" spans="18:22">
      <c r="R454" s="114"/>
      <c r="S454" s="114"/>
      <c r="T454" s="20"/>
      <c r="U454" s="20"/>
      <c r="V454" s="20"/>
    </row>
    <row r="455" spans="18:22">
      <c r="R455" s="114"/>
      <c r="S455" s="114"/>
      <c r="T455" s="20"/>
      <c r="U455" s="20"/>
      <c r="V455" s="20"/>
    </row>
    <row r="456" spans="18:22">
      <c r="R456" s="114"/>
      <c r="S456" s="114"/>
      <c r="T456" s="20"/>
      <c r="U456" s="20"/>
      <c r="V456" s="20"/>
    </row>
    <row r="457" spans="18:22">
      <c r="R457" s="114"/>
      <c r="S457" s="114"/>
      <c r="T457" s="20"/>
      <c r="U457" s="20"/>
      <c r="V457" s="20"/>
    </row>
    <row r="458" spans="18:22">
      <c r="R458" s="114"/>
      <c r="S458" s="114"/>
      <c r="T458" s="20"/>
      <c r="U458" s="20"/>
      <c r="V458" s="20"/>
    </row>
    <row r="459" spans="18:22">
      <c r="R459" s="114"/>
      <c r="S459" s="114"/>
      <c r="T459" s="20"/>
      <c r="U459" s="20"/>
      <c r="V459" s="20"/>
    </row>
    <row r="460" spans="18:22">
      <c r="R460" s="114"/>
      <c r="S460" s="114"/>
      <c r="T460" s="20"/>
      <c r="U460" s="20"/>
      <c r="V460" s="20"/>
    </row>
    <row r="461" spans="18:22">
      <c r="R461" s="114"/>
      <c r="S461" s="114"/>
      <c r="T461" s="20"/>
      <c r="U461" s="20"/>
      <c r="V461" s="20"/>
    </row>
    <row r="462" spans="18:22">
      <c r="R462" s="114"/>
      <c r="S462" s="114"/>
      <c r="T462" s="20"/>
      <c r="U462" s="20"/>
      <c r="V462" s="20"/>
    </row>
    <row r="463" spans="18:22">
      <c r="R463" s="114"/>
      <c r="S463" s="114"/>
      <c r="T463" s="20"/>
      <c r="U463" s="20"/>
      <c r="V463" s="20"/>
    </row>
    <row r="464" spans="18:22">
      <c r="R464" s="114"/>
      <c r="S464" s="114"/>
      <c r="T464" s="20"/>
      <c r="U464" s="20"/>
      <c r="V464" s="20"/>
    </row>
    <row r="465" spans="18:22">
      <c r="R465" s="114"/>
      <c r="S465" s="114"/>
      <c r="T465" s="20"/>
      <c r="U465" s="20"/>
      <c r="V465" s="20"/>
    </row>
    <row r="466" spans="18:22">
      <c r="R466" s="114"/>
      <c r="S466" s="114"/>
      <c r="T466" s="20"/>
      <c r="U466" s="20"/>
      <c r="V466" s="20"/>
    </row>
    <row r="467" spans="18:22">
      <c r="R467" s="114"/>
      <c r="S467" s="114"/>
      <c r="T467" s="20"/>
      <c r="U467" s="20"/>
      <c r="V467" s="20"/>
    </row>
    <row r="468" spans="18:22">
      <c r="R468" s="114"/>
      <c r="S468" s="114"/>
      <c r="T468" s="20"/>
      <c r="U468" s="20"/>
      <c r="V468" s="20"/>
    </row>
    <row r="469" spans="18:22">
      <c r="R469" s="114"/>
      <c r="S469" s="114"/>
      <c r="T469" s="20"/>
      <c r="U469" s="20"/>
      <c r="V469" s="20"/>
    </row>
    <row r="470" spans="18:22">
      <c r="R470" s="114"/>
      <c r="S470" s="114"/>
      <c r="T470" s="20"/>
      <c r="U470" s="20"/>
      <c r="V470" s="20"/>
    </row>
    <row r="471" spans="18:22">
      <c r="R471" s="114"/>
      <c r="S471" s="114"/>
      <c r="T471" s="20"/>
      <c r="U471" s="20"/>
      <c r="V471" s="20"/>
    </row>
    <row r="472" spans="18:22">
      <c r="R472" s="114"/>
      <c r="S472" s="114"/>
      <c r="T472" s="20"/>
      <c r="U472" s="20"/>
      <c r="V472" s="20"/>
    </row>
    <row r="473" spans="18:22">
      <c r="R473" s="114"/>
      <c r="S473" s="114"/>
      <c r="T473" s="20"/>
      <c r="U473" s="20"/>
      <c r="V473" s="20"/>
    </row>
    <row r="474" spans="18:22">
      <c r="R474" s="114"/>
      <c r="S474" s="114"/>
      <c r="T474" s="20"/>
      <c r="U474" s="20"/>
      <c r="V474" s="20"/>
    </row>
    <row r="475" spans="18:22">
      <c r="R475" s="114"/>
      <c r="S475" s="114"/>
      <c r="T475" s="20"/>
      <c r="U475" s="20"/>
      <c r="V475" s="20"/>
    </row>
    <row r="476" spans="18:22">
      <c r="R476" s="114"/>
      <c r="S476" s="114"/>
      <c r="T476" s="20"/>
      <c r="U476" s="20"/>
      <c r="V476" s="20"/>
    </row>
    <row r="477" spans="18:22">
      <c r="R477" s="114"/>
      <c r="S477" s="114"/>
      <c r="T477" s="20"/>
      <c r="U477" s="20"/>
      <c r="V477" s="20"/>
    </row>
    <row r="478" spans="18:22">
      <c r="R478" s="114"/>
      <c r="S478" s="114"/>
      <c r="T478" s="20"/>
      <c r="U478" s="20"/>
      <c r="V478" s="20"/>
    </row>
    <row r="479" spans="18:22">
      <c r="R479" s="114"/>
      <c r="S479" s="114"/>
      <c r="T479" s="20"/>
      <c r="U479" s="20"/>
      <c r="V479" s="20"/>
    </row>
    <row r="480" spans="18:22">
      <c r="R480" s="114"/>
      <c r="S480" s="114"/>
      <c r="T480" s="20"/>
      <c r="U480" s="20"/>
      <c r="V480" s="20"/>
    </row>
    <row r="481" spans="18:22">
      <c r="R481" s="114"/>
      <c r="S481" s="114"/>
      <c r="T481" s="20"/>
      <c r="U481" s="20"/>
      <c r="V481" s="20"/>
    </row>
    <row r="482" spans="18:22">
      <c r="R482" s="114"/>
      <c r="S482" s="114"/>
      <c r="T482" s="20"/>
      <c r="U482" s="20"/>
      <c r="V482" s="20"/>
    </row>
    <row r="483" spans="18:22">
      <c r="R483" s="114"/>
      <c r="S483" s="114"/>
      <c r="T483" s="20"/>
      <c r="U483" s="20"/>
      <c r="V483" s="20"/>
    </row>
    <row r="484" spans="18:22">
      <c r="R484" s="114"/>
      <c r="S484" s="114"/>
      <c r="T484" s="20"/>
      <c r="U484" s="20"/>
      <c r="V484" s="20"/>
    </row>
    <row r="485" spans="18:22">
      <c r="R485" s="114"/>
      <c r="S485" s="114"/>
      <c r="T485" s="20"/>
      <c r="U485" s="20"/>
      <c r="V485" s="20"/>
    </row>
    <row r="486" spans="18:22">
      <c r="R486" s="114"/>
      <c r="S486" s="114"/>
      <c r="T486" s="20"/>
      <c r="U486" s="20"/>
      <c r="V486" s="20"/>
    </row>
    <row r="487" spans="18:22">
      <c r="R487" s="114"/>
      <c r="S487" s="114"/>
      <c r="T487" s="20"/>
      <c r="U487" s="20"/>
      <c r="V487" s="20"/>
    </row>
    <row r="488" spans="18:22">
      <c r="R488" s="114"/>
      <c r="S488" s="114"/>
      <c r="T488" s="20"/>
      <c r="U488" s="20"/>
      <c r="V488" s="20"/>
    </row>
    <row r="489" spans="18:22">
      <c r="R489" s="114"/>
      <c r="S489" s="114"/>
      <c r="T489" s="20"/>
      <c r="U489" s="20"/>
      <c r="V489" s="20"/>
    </row>
    <row r="490" spans="18:22">
      <c r="R490" s="114"/>
      <c r="S490" s="114"/>
      <c r="T490" s="20"/>
      <c r="U490" s="20"/>
      <c r="V490" s="20"/>
    </row>
    <row r="491" spans="18:22">
      <c r="R491" s="114"/>
      <c r="S491" s="114"/>
      <c r="T491" s="20"/>
      <c r="U491" s="20"/>
      <c r="V491" s="20"/>
    </row>
    <row r="492" spans="18:22">
      <c r="R492" s="114"/>
      <c r="S492" s="114"/>
      <c r="T492" s="20"/>
      <c r="U492" s="20"/>
      <c r="V492" s="20"/>
    </row>
    <row r="493" spans="18:22">
      <c r="R493" s="114"/>
      <c r="S493" s="114"/>
      <c r="T493" s="20"/>
      <c r="U493" s="20"/>
      <c r="V493" s="20"/>
    </row>
    <row r="494" spans="18:22">
      <c r="R494" s="114"/>
      <c r="S494" s="114"/>
      <c r="T494" s="20"/>
      <c r="U494" s="20"/>
      <c r="V494" s="20"/>
    </row>
    <row r="495" spans="18:22">
      <c r="R495" s="114"/>
      <c r="S495" s="114"/>
      <c r="T495" s="20"/>
      <c r="U495" s="20"/>
      <c r="V495" s="20"/>
    </row>
    <row r="496" spans="18:22">
      <c r="R496" s="114"/>
      <c r="S496" s="114"/>
      <c r="T496" s="20"/>
      <c r="U496" s="20"/>
      <c r="V496" s="20"/>
    </row>
    <row r="497" spans="18:22">
      <c r="R497" s="114"/>
      <c r="S497" s="114"/>
      <c r="T497" s="20"/>
      <c r="U497" s="20"/>
      <c r="V497" s="20"/>
    </row>
    <row r="498" spans="18:22">
      <c r="R498" s="114"/>
      <c r="S498" s="114"/>
      <c r="T498" s="20"/>
      <c r="U498" s="20"/>
      <c r="V498" s="20"/>
    </row>
    <row r="499" spans="18:22">
      <c r="R499" s="114"/>
      <c r="S499" s="114"/>
      <c r="T499" s="20"/>
      <c r="U499" s="20"/>
      <c r="V499" s="20"/>
    </row>
    <row r="500" spans="18:22">
      <c r="R500" s="114"/>
      <c r="S500" s="114"/>
      <c r="T500" s="20"/>
      <c r="U500" s="20"/>
      <c r="V500" s="20"/>
    </row>
    <row r="501" spans="18:22">
      <c r="R501" s="114"/>
      <c r="S501" s="114"/>
      <c r="T501" s="20"/>
      <c r="U501" s="20"/>
      <c r="V501" s="20"/>
    </row>
    <row r="502" spans="18:22">
      <c r="R502" s="114"/>
      <c r="S502" s="114"/>
      <c r="T502" s="20"/>
      <c r="U502" s="20"/>
      <c r="V502" s="20"/>
    </row>
    <row r="503" spans="18:22">
      <c r="R503" s="114"/>
      <c r="S503" s="114"/>
      <c r="T503" s="20"/>
      <c r="U503" s="20"/>
      <c r="V503" s="20"/>
    </row>
    <row r="504" spans="18:22">
      <c r="R504" s="114"/>
      <c r="S504" s="114"/>
      <c r="T504" s="20"/>
      <c r="U504" s="20"/>
      <c r="V504" s="20"/>
    </row>
    <row r="505" spans="18:22">
      <c r="R505" s="114"/>
      <c r="S505" s="114"/>
      <c r="T505" s="20"/>
      <c r="U505" s="20"/>
      <c r="V505" s="20"/>
    </row>
    <row r="506" spans="18:22">
      <c r="R506" s="114"/>
      <c r="S506" s="114"/>
      <c r="T506" s="20"/>
      <c r="U506" s="20"/>
      <c r="V506" s="20"/>
    </row>
    <row r="507" spans="18:22">
      <c r="R507" s="114"/>
      <c r="S507" s="114"/>
      <c r="T507" s="20"/>
      <c r="U507" s="20"/>
      <c r="V507" s="20"/>
    </row>
    <row r="508" spans="18:22">
      <c r="R508" s="114"/>
      <c r="S508" s="114"/>
      <c r="T508" s="20"/>
      <c r="U508" s="20"/>
      <c r="V508" s="20"/>
    </row>
    <row r="509" spans="18:22">
      <c r="R509" s="114"/>
      <c r="S509" s="114"/>
      <c r="T509" s="20"/>
      <c r="U509" s="20"/>
      <c r="V509" s="20"/>
    </row>
    <row r="510" spans="18:22">
      <c r="R510" s="114"/>
      <c r="S510" s="114"/>
      <c r="T510" s="20"/>
      <c r="U510" s="20"/>
      <c r="V510" s="20"/>
    </row>
    <row r="511" spans="18:22">
      <c r="R511" s="114"/>
      <c r="S511" s="114"/>
      <c r="T511" s="20"/>
      <c r="U511" s="20"/>
      <c r="V511" s="20"/>
    </row>
    <row r="512" spans="18:22">
      <c r="R512" s="114"/>
      <c r="S512" s="114"/>
      <c r="T512" s="20"/>
      <c r="U512" s="20"/>
      <c r="V512" s="20"/>
    </row>
    <row r="513" spans="18:22">
      <c r="R513" s="114"/>
      <c r="S513" s="114"/>
      <c r="T513" s="20"/>
      <c r="U513" s="20"/>
      <c r="V513" s="20"/>
    </row>
    <row r="514" spans="18:22">
      <c r="R514" s="114"/>
      <c r="S514" s="114"/>
      <c r="T514" s="20"/>
      <c r="U514" s="20"/>
      <c r="V514" s="20"/>
    </row>
    <row r="515" spans="18:22">
      <c r="R515" s="114"/>
      <c r="S515" s="114"/>
      <c r="T515" s="20"/>
      <c r="U515" s="20"/>
      <c r="V515" s="20"/>
    </row>
    <row r="516" spans="18:22">
      <c r="R516" s="114"/>
      <c r="S516" s="114"/>
      <c r="T516" s="20"/>
      <c r="U516" s="20"/>
      <c r="V516" s="20"/>
    </row>
    <row r="517" spans="18:22">
      <c r="R517" s="114"/>
      <c r="S517" s="114"/>
      <c r="T517" s="20"/>
      <c r="U517" s="20"/>
      <c r="V517" s="20"/>
    </row>
    <row r="518" spans="18:22">
      <c r="R518" s="114"/>
      <c r="S518" s="114"/>
      <c r="T518" s="20"/>
      <c r="U518" s="20"/>
      <c r="V518" s="20"/>
    </row>
    <row r="519" spans="18:22">
      <c r="R519" s="114"/>
      <c r="S519" s="114"/>
      <c r="T519" s="20"/>
      <c r="U519" s="20"/>
      <c r="V519" s="20"/>
    </row>
    <row r="520" spans="18:22">
      <c r="R520" s="114"/>
      <c r="S520" s="114"/>
      <c r="T520" s="20"/>
      <c r="U520" s="20"/>
      <c r="V520" s="20"/>
    </row>
    <row r="521" spans="18:22">
      <c r="R521" s="114"/>
      <c r="S521" s="114"/>
      <c r="T521" s="20"/>
      <c r="U521" s="20"/>
      <c r="V521" s="20"/>
    </row>
    <row r="522" spans="18:22">
      <c r="R522" s="114"/>
      <c r="S522" s="114"/>
      <c r="T522" s="20"/>
      <c r="U522" s="20"/>
      <c r="V522" s="20"/>
    </row>
    <row r="523" spans="18:22">
      <c r="R523" s="114"/>
      <c r="S523" s="114"/>
      <c r="T523" s="20"/>
      <c r="U523" s="20"/>
      <c r="V523" s="20"/>
    </row>
    <row r="524" spans="18:22">
      <c r="R524" s="114"/>
      <c r="S524" s="114"/>
      <c r="T524" s="20"/>
      <c r="U524" s="20"/>
      <c r="V524" s="20"/>
    </row>
    <row r="525" spans="18:22">
      <c r="R525" s="114"/>
      <c r="S525" s="114"/>
      <c r="T525" s="20"/>
      <c r="U525" s="20"/>
      <c r="V525" s="20"/>
    </row>
    <row r="526" spans="18:22">
      <c r="R526" s="114"/>
      <c r="S526" s="114"/>
      <c r="T526" s="20"/>
      <c r="U526" s="20"/>
      <c r="V526" s="20"/>
    </row>
    <row r="527" spans="18:22">
      <c r="R527" s="114"/>
      <c r="S527" s="114"/>
      <c r="T527" s="20"/>
      <c r="U527" s="20"/>
      <c r="V527" s="20"/>
    </row>
    <row r="528" spans="18:22">
      <c r="R528" s="114"/>
      <c r="S528" s="114"/>
      <c r="T528" s="20"/>
      <c r="U528" s="20"/>
      <c r="V528" s="20"/>
    </row>
    <row r="529" spans="18:22">
      <c r="R529" s="114"/>
      <c r="S529" s="114"/>
      <c r="T529" s="20"/>
      <c r="U529" s="20"/>
      <c r="V529" s="20"/>
    </row>
    <row r="530" spans="18:22">
      <c r="R530" s="114"/>
      <c r="S530" s="114"/>
      <c r="T530" s="20"/>
      <c r="U530" s="20"/>
      <c r="V530" s="20"/>
    </row>
    <row r="531" spans="18:22">
      <c r="R531" s="114"/>
      <c r="S531" s="114"/>
      <c r="T531" s="20"/>
      <c r="U531" s="20"/>
      <c r="V531" s="20"/>
    </row>
    <row r="532" spans="18:22">
      <c r="R532" s="114"/>
      <c r="S532" s="114"/>
      <c r="T532" s="20"/>
      <c r="U532" s="20"/>
      <c r="V532" s="20"/>
    </row>
    <row r="533" spans="18:22">
      <c r="R533" s="114"/>
      <c r="S533" s="114"/>
      <c r="T533" s="20"/>
      <c r="U533" s="20"/>
      <c r="V533" s="20"/>
    </row>
    <row r="534" spans="18:22">
      <c r="R534" s="114"/>
      <c r="S534" s="114"/>
      <c r="T534" s="20"/>
      <c r="U534" s="20"/>
      <c r="V534" s="20"/>
    </row>
    <row r="535" spans="18:22">
      <c r="R535" s="114"/>
      <c r="S535" s="114"/>
      <c r="T535" s="20"/>
      <c r="U535" s="20"/>
      <c r="V535" s="20"/>
    </row>
    <row r="536" spans="18:22">
      <c r="R536" s="114"/>
      <c r="S536" s="114"/>
      <c r="T536" s="20"/>
      <c r="U536" s="20"/>
      <c r="V536" s="20"/>
    </row>
    <row r="537" spans="18:22">
      <c r="R537" s="114"/>
      <c r="S537" s="114"/>
      <c r="T537" s="20"/>
      <c r="U537" s="20"/>
      <c r="V537" s="20"/>
    </row>
    <row r="538" spans="18:22">
      <c r="R538" s="114"/>
      <c r="S538" s="114"/>
      <c r="T538" s="20"/>
      <c r="U538" s="20"/>
      <c r="V538" s="20"/>
    </row>
    <row r="539" spans="18:22">
      <c r="R539" s="114"/>
      <c r="S539" s="114"/>
      <c r="T539" s="20"/>
      <c r="U539" s="20"/>
      <c r="V539" s="20"/>
    </row>
    <row r="540" spans="18:22">
      <c r="R540" s="114"/>
      <c r="S540" s="114"/>
      <c r="T540" s="20"/>
      <c r="U540" s="20"/>
      <c r="V540" s="20"/>
    </row>
    <row r="541" spans="18:22">
      <c r="R541" s="114"/>
      <c r="S541" s="114"/>
      <c r="T541" s="20"/>
      <c r="U541" s="20"/>
      <c r="V541" s="20"/>
    </row>
    <row r="542" spans="18:22">
      <c r="R542" s="114"/>
      <c r="S542" s="114"/>
      <c r="T542" s="20"/>
      <c r="U542" s="20"/>
      <c r="V542" s="20"/>
    </row>
    <row r="543" spans="18:22">
      <c r="R543" s="114"/>
      <c r="S543" s="114"/>
      <c r="T543" s="20"/>
      <c r="U543" s="20"/>
      <c r="V543" s="20"/>
    </row>
    <row r="544" spans="18:22">
      <c r="R544" s="114"/>
      <c r="S544" s="114"/>
      <c r="T544" s="20"/>
      <c r="U544" s="20"/>
      <c r="V544" s="20"/>
    </row>
    <row r="545" spans="18:22">
      <c r="R545" s="114"/>
      <c r="S545" s="114"/>
      <c r="T545" s="20"/>
      <c r="U545" s="20"/>
      <c r="V545" s="20"/>
    </row>
    <row r="546" spans="18:22">
      <c r="R546" s="114"/>
      <c r="S546" s="114"/>
      <c r="T546" s="20"/>
      <c r="U546" s="20"/>
      <c r="V546" s="20"/>
    </row>
    <row r="547" spans="18:22">
      <c r="R547" s="114"/>
      <c r="S547" s="114"/>
      <c r="T547" s="20"/>
      <c r="U547" s="20"/>
      <c r="V547" s="20"/>
    </row>
    <row r="548" spans="18:22">
      <c r="R548" s="114"/>
      <c r="S548" s="114"/>
      <c r="T548" s="20"/>
      <c r="U548" s="20"/>
      <c r="V548" s="20"/>
    </row>
    <row r="549" spans="18:22">
      <c r="R549" s="114"/>
      <c r="S549" s="114"/>
      <c r="T549" s="20"/>
      <c r="U549" s="20"/>
      <c r="V549" s="20"/>
    </row>
    <row r="550" spans="18:22">
      <c r="R550" s="114"/>
      <c r="S550" s="114"/>
      <c r="T550" s="20"/>
      <c r="U550" s="20"/>
      <c r="V550" s="20"/>
    </row>
    <row r="551" spans="18:22">
      <c r="R551" s="114"/>
      <c r="S551" s="114"/>
      <c r="T551" s="20"/>
      <c r="U551" s="20"/>
      <c r="V551" s="20"/>
    </row>
    <row r="552" spans="18:22">
      <c r="R552" s="114"/>
      <c r="S552" s="114"/>
      <c r="T552" s="20"/>
      <c r="U552" s="20"/>
      <c r="V552" s="20"/>
    </row>
    <row r="553" spans="18:22">
      <c r="R553" s="114"/>
      <c r="S553" s="114"/>
      <c r="T553" s="20"/>
      <c r="U553" s="20"/>
      <c r="V553" s="20"/>
    </row>
    <row r="554" spans="18:22">
      <c r="R554" s="114"/>
      <c r="S554" s="114"/>
      <c r="T554" s="20"/>
      <c r="U554" s="20"/>
      <c r="V554" s="20"/>
    </row>
    <row r="555" spans="18:22">
      <c r="R555" s="114"/>
      <c r="S555" s="114"/>
      <c r="T555" s="20"/>
      <c r="U555" s="20"/>
      <c r="V555" s="20"/>
    </row>
    <row r="556" spans="18:22">
      <c r="R556" s="114"/>
      <c r="S556" s="114"/>
      <c r="T556" s="20"/>
      <c r="U556" s="20"/>
      <c r="V556" s="20"/>
    </row>
    <row r="557" spans="18:22">
      <c r="R557" s="114"/>
      <c r="S557" s="114"/>
      <c r="T557" s="20"/>
      <c r="U557" s="20"/>
      <c r="V557" s="20"/>
    </row>
    <row r="558" spans="18:22">
      <c r="R558" s="114"/>
      <c r="S558" s="114"/>
      <c r="T558" s="20"/>
      <c r="U558" s="20"/>
      <c r="V558" s="20"/>
    </row>
    <row r="559" spans="18:22">
      <c r="R559" s="114"/>
      <c r="S559" s="114"/>
      <c r="T559" s="20"/>
      <c r="U559" s="20"/>
      <c r="V559" s="20"/>
    </row>
    <row r="560" spans="18:22">
      <c r="R560" s="114"/>
      <c r="S560" s="114"/>
      <c r="T560" s="20"/>
      <c r="U560" s="20"/>
      <c r="V560" s="20"/>
    </row>
    <row r="561" spans="18:22">
      <c r="R561" s="114"/>
      <c r="S561" s="114"/>
      <c r="T561" s="20"/>
      <c r="U561" s="20"/>
      <c r="V561" s="20"/>
    </row>
    <row r="562" spans="18:22">
      <c r="R562" s="114"/>
      <c r="S562" s="114"/>
      <c r="T562" s="20"/>
      <c r="U562" s="20"/>
      <c r="V562" s="20"/>
    </row>
    <row r="563" spans="18:22">
      <c r="R563" s="114"/>
      <c r="S563" s="114"/>
      <c r="T563" s="20"/>
      <c r="U563" s="20"/>
      <c r="V563" s="20"/>
    </row>
    <row r="564" spans="18:22">
      <c r="R564" s="114"/>
      <c r="S564" s="114"/>
      <c r="T564" s="20"/>
      <c r="U564" s="20"/>
      <c r="V564" s="20"/>
    </row>
    <row r="565" spans="18:22">
      <c r="R565" s="114"/>
      <c r="S565" s="114"/>
      <c r="T565" s="20"/>
      <c r="U565" s="20"/>
      <c r="V565" s="20"/>
    </row>
    <row r="566" spans="18:22">
      <c r="R566" s="114"/>
      <c r="S566" s="114"/>
      <c r="T566" s="20"/>
      <c r="U566" s="20"/>
      <c r="V566" s="20"/>
    </row>
    <row r="567" spans="18:22">
      <c r="R567" s="114"/>
      <c r="S567" s="114"/>
      <c r="T567" s="20"/>
      <c r="U567" s="20"/>
      <c r="V567" s="20"/>
    </row>
    <row r="568" spans="18:22">
      <c r="R568" s="114"/>
      <c r="S568" s="114"/>
      <c r="T568" s="20"/>
      <c r="U568" s="20"/>
      <c r="V568" s="20"/>
    </row>
    <row r="569" spans="18:22">
      <c r="R569" s="114"/>
      <c r="S569" s="114"/>
      <c r="T569" s="20"/>
      <c r="U569" s="20"/>
      <c r="V569" s="20"/>
    </row>
    <row r="570" spans="18:22">
      <c r="R570" s="114"/>
      <c r="S570" s="114"/>
      <c r="T570" s="20"/>
      <c r="U570" s="20"/>
      <c r="V570" s="20"/>
    </row>
    <row r="571" spans="18:22">
      <c r="R571" s="114"/>
      <c r="S571" s="114"/>
      <c r="T571" s="20"/>
      <c r="U571" s="20"/>
      <c r="V571" s="20"/>
    </row>
    <row r="572" spans="18:22">
      <c r="R572" s="114"/>
      <c r="S572" s="114"/>
      <c r="T572" s="20"/>
      <c r="U572" s="20"/>
      <c r="V572" s="20"/>
    </row>
    <row r="573" spans="18:22">
      <c r="R573" s="114"/>
      <c r="S573" s="114"/>
      <c r="T573" s="20"/>
      <c r="U573" s="20"/>
      <c r="V573" s="20"/>
    </row>
    <row r="574" spans="18:22">
      <c r="R574" s="114"/>
      <c r="S574" s="114"/>
      <c r="T574" s="20"/>
      <c r="U574" s="20"/>
      <c r="V574" s="20"/>
    </row>
    <row r="575" spans="18:22">
      <c r="R575" s="114"/>
      <c r="S575" s="114"/>
      <c r="T575" s="20"/>
      <c r="U575" s="20"/>
      <c r="V575" s="20"/>
    </row>
    <row r="576" spans="18:22">
      <c r="R576" s="114"/>
      <c r="S576" s="114"/>
      <c r="T576" s="20"/>
      <c r="U576" s="20"/>
      <c r="V576" s="20"/>
    </row>
    <row r="577" spans="18:22">
      <c r="R577" s="114"/>
      <c r="S577" s="114"/>
      <c r="T577" s="20"/>
      <c r="U577" s="20"/>
      <c r="V577" s="20"/>
    </row>
    <row r="578" spans="18:22">
      <c r="R578" s="114"/>
      <c r="S578" s="114"/>
      <c r="T578" s="20"/>
      <c r="U578" s="20"/>
      <c r="V578" s="20"/>
    </row>
    <row r="579" spans="18:22">
      <c r="R579" s="114"/>
      <c r="S579" s="114"/>
      <c r="T579" s="20"/>
      <c r="U579" s="20"/>
      <c r="V579" s="20"/>
    </row>
    <row r="580" spans="18:22">
      <c r="R580" s="114"/>
      <c r="S580" s="114"/>
      <c r="T580" s="20"/>
      <c r="U580" s="20"/>
      <c r="V580" s="20"/>
    </row>
    <row r="581" spans="18:22">
      <c r="R581" s="114"/>
      <c r="S581" s="114"/>
      <c r="T581" s="20"/>
      <c r="U581" s="20"/>
      <c r="V581" s="20"/>
    </row>
    <row r="582" spans="18:22">
      <c r="R582" s="114"/>
      <c r="S582" s="114"/>
      <c r="T582" s="20"/>
      <c r="U582" s="20"/>
      <c r="V582" s="20"/>
    </row>
    <row r="583" spans="18:22">
      <c r="R583" s="114"/>
      <c r="S583" s="114"/>
      <c r="T583" s="20"/>
      <c r="U583" s="20"/>
      <c r="V583" s="20"/>
    </row>
    <row r="584" spans="18:22">
      <c r="R584" s="114"/>
      <c r="S584" s="114"/>
      <c r="T584" s="20"/>
      <c r="U584" s="20"/>
      <c r="V584" s="20"/>
    </row>
    <row r="585" spans="18:22">
      <c r="R585" s="114"/>
      <c r="S585" s="114"/>
      <c r="T585" s="20"/>
      <c r="U585" s="20"/>
      <c r="V585" s="20"/>
    </row>
    <row r="586" spans="18:22">
      <c r="R586" s="114"/>
      <c r="S586" s="114"/>
      <c r="T586" s="20"/>
      <c r="U586" s="20"/>
      <c r="V586" s="20"/>
    </row>
    <row r="587" spans="18:22">
      <c r="R587" s="114"/>
      <c r="S587" s="114"/>
      <c r="T587" s="20"/>
      <c r="U587" s="20"/>
      <c r="V587" s="20"/>
    </row>
    <row r="588" spans="18:22">
      <c r="R588" s="114"/>
      <c r="S588" s="114"/>
      <c r="T588" s="20"/>
      <c r="U588" s="20"/>
      <c r="V588" s="20"/>
    </row>
    <row r="589" spans="18:22">
      <c r="R589" s="114"/>
      <c r="S589" s="114"/>
      <c r="T589" s="20"/>
      <c r="U589" s="20"/>
      <c r="V589" s="20"/>
    </row>
    <row r="590" spans="18:22">
      <c r="R590" s="114"/>
      <c r="S590" s="114"/>
      <c r="T590" s="20"/>
      <c r="U590" s="20"/>
      <c r="V590" s="20"/>
    </row>
    <row r="591" spans="18:22">
      <c r="R591" s="114"/>
      <c r="S591" s="114"/>
      <c r="T591" s="20"/>
      <c r="U591" s="20"/>
      <c r="V591" s="20"/>
    </row>
    <row r="592" spans="18:22">
      <c r="R592" s="114"/>
      <c r="S592" s="114"/>
      <c r="T592" s="20"/>
      <c r="U592" s="20"/>
      <c r="V592" s="20"/>
    </row>
    <row r="593" spans="18:22">
      <c r="R593" s="114"/>
      <c r="S593" s="114"/>
      <c r="T593" s="20"/>
      <c r="U593" s="20"/>
      <c r="V593" s="20"/>
    </row>
    <row r="594" spans="18:22">
      <c r="R594" s="114"/>
      <c r="S594" s="114"/>
      <c r="T594" s="20"/>
      <c r="U594" s="20"/>
      <c r="V594" s="20"/>
    </row>
    <row r="595" spans="18:22">
      <c r="R595" s="114"/>
      <c r="S595" s="114"/>
      <c r="T595" s="20"/>
      <c r="U595" s="20"/>
      <c r="V595" s="20"/>
    </row>
    <row r="596" spans="18:22">
      <c r="R596" s="114"/>
      <c r="S596" s="114"/>
      <c r="T596" s="20"/>
      <c r="U596" s="20"/>
      <c r="V596" s="20"/>
    </row>
    <row r="597" spans="18:22">
      <c r="R597" s="114"/>
      <c r="S597" s="114"/>
      <c r="T597" s="20"/>
      <c r="U597" s="20"/>
      <c r="V597" s="20"/>
    </row>
    <row r="598" spans="18:22">
      <c r="R598" s="114"/>
      <c r="S598" s="114"/>
      <c r="T598" s="20"/>
      <c r="U598" s="20"/>
      <c r="V598" s="20"/>
    </row>
    <row r="599" spans="18:22">
      <c r="R599" s="114"/>
      <c r="S599" s="114"/>
      <c r="T599" s="20"/>
      <c r="U599" s="20"/>
      <c r="V599" s="20"/>
    </row>
    <row r="600" spans="18:22">
      <c r="R600" s="114"/>
      <c r="S600" s="114"/>
      <c r="T600" s="20"/>
      <c r="U600" s="20"/>
      <c r="V600" s="20"/>
    </row>
    <row r="601" spans="18:22">
      <c r="R601" s="114"/>
      <c r="S601" s="114"/>
      <c r="T601" s="20"/>
      <c r="U601" s="20"/>
      <c r="V601" s="20"/>
    </row>
    <row r="602" spans="18:22">
      <c r="R602" s="114"/>
      <c r="S602" s="114"/>
      <c r="T602" s="20"/>
      <c r="U602" s="20"/>
      <c r="V602" s="20"/>
    </row>
    <row r="603" spans="18:22">
      <c r="R603" s="114"/>
      <c r="S603" s="114"/>
      <c r="T603" s="20"/>
      <c r="U603" s="20"/>
      <c r="V603" s="20"/>
    </row>
    <row r="604" spans="18:22">
      <c r="R604" s="114"/>
      <c r="S604" s="114"/>
      <c r="T604" s="20"/>
      <c r="U604" s="20"/>
      <c r="V604" s="20"/>
    </row>
    <row r="605" spans="18:22">
      <c r="R605" s="114"/>
      <c r="S605" s="114"/>
      <c r="T605" s="20"/>
      <c r="U605" s="20"/>
      <c r="V605" s="20"/>
    </row>
    <row r="606" spans="18:22">
      <c r="R606" s="114"/>
      <c r="S606" s="114"/>
      <c r="T606" s="20"/>
      <c r="U606" s="20"/>
      <c r="V606" s="20"/>
    </row>
    <row r="607" spans="18:22">
      <c r="R607" s="114"/>
      <c r="S607" s="114"/>
      <c r="T607" s="20"/>
      <c r="U607" s="20"/>
      <c r="V607" s="20"/>
    </row>
    <row r="608" spans="18:22">
      <c r="R608" s="114"/>
      <c r="S608" s="114"/>
      <c r="T608" s="20"/>
      <c r="U608" s="20"/>
      <c r="V608" s="20"/>
    </row>
    <row r="609" spans="18:22">
      <c r="R609" s="114"/>
      <c r="S609" s="114"/>
      <c r="T609" s="20"/>
      <c r="U609" s="20"/>
      <c r="V609" s="20"/>
    </row>
    <row r="610" spans="18:22">
      <c r="R610" s="114"/>
      <c r="S610" s="114"/>
      <c r="T610" s="20"/>
      <c r="U610" s="20"/>
      <c r="V610" s="20"/>
    </row>
    <row r="611" spans="18:22">
      <c r="R611" s="114"/>
      <c r="S611" s="114"/>
      <c r="T611" s="20"/>
      <c r="U611" s="20"/>
      <c r="V611" s="20"/>
    </row>
    <row r="612" spans="18:22">
      <c r="R612" s="114"/>
      <c r="S612" s="114"/>
      <c r="T612" s="20"/>
      <c r="U612" s="20"/>
      <c r="V612" s="20"/>
    </row>
    <row r="613" spans="18:22">
      <c r="R613" s="114"/>
      <c r="S613" s="114"/>
      <c r="T613" s="20"/>
      <c r="U613" s="20"/>
      <c r="V613" s="20"/>
    </row>
    <row r="614" spans="18:22">
      <c r="R614" s="114"/>
      <c r="S614" s="114"/>
      <c r="T614" s="20"/>
      <c r="U614" s="20"/>
      <c r="V614" s="20"/>
    </row>
    <row r="615" spans="18:22">
      <c r="R615" s="114"/>
      <c r="S615" s="114"/>
      <c r="T615" s="20"/>
      <c r="U615" s="20"/>
      <c r="V615" s="20"/>
    </row>
    <row r="616" spans="18:22">
      <c r="R616" s="114"/>
      <c r="S616" s="114"/>
      <c r="T616" s="20"/>
      <c r="U616" s="20"/>
      <c r="V616" s="20"/>
    </row>
    <row r="617" spans="18:22">
      <c r="R617" s="114"/>
      <c r="S617" s="114"/>
      <c r="T617" s="20"/>
      <c r="U617" s="20"/>
      <c r="V617" s="20"/>
    </row>
    <row r="618" spans="18:22">
      <c r="R618" s="114"/>
      <c r="S618" s="114"/>
      <c r="T618" s="20"/>
      <c r="U618" s="20"/>
      <c r="V618" s="20"/>
    </row>
    <row r="619" spans="18:22">
      <c r="R619" s="114"/>
      <c r="S619" s="114"/>
      <c r="T619" s="20"/>
      <c r="U619" s="20"/>
      <c r="V619" s="20"/>
    </row>
    <row r="620" spans="18:22">
      <c r="R620" s="114"/>
      <c r="S620" s="114"/>
      <c r="T620" s="20"/>
      <c r="U620" s="20"/>
      <c r="V620" s="20"/>
    </row>
    <row r="621" spans="18:22">
      <c r="R621" s="114"/>
      <c r="S621" s="114"/>
      <c r="T621" s="20"/>
      <c r="U621" s="20"/>
      <c r="V621" s="20"/>
    </row>
    <row r="622" spans="18:22">
      <c r="R622" s="114"/>
      <c r="S622" s="114"/>
      <c r="T622" s="20"/>
      <c r="U622" s="20"/>
      <c r="V622" s="20"/>
    </row>
    <row r="623" spans="18:22">
      <c r="R623" s="114"/>
      <c r="S623" s="114"/>
      <c r="T623" s="20"/>
      <c r="U623" s="20"/>
      <c r="V623" s="20"/>
    </row>
    <row r="624" spans="18:22">
      <c r="R624" s="114"/>
      <c r="S624" s="114"/>
      <c r="T624" s="20"/>
      <c r="U624" s="20"/>
      <c r="V624" s="20"/>
    </row>
    <row r="625" spans="18:22">
      <c r="R625" s="114"/>
      <c r="S625" s="114"/>
      <c r="T625" s="20"/>
      <c r="U625" s="20"/>
      <c r="V625" s="20"/>
    </row>
    <row r="626" spans="18:22">
      <c r="R626" s="114"/>
      <c r="S626" s="114"/>
      <c r="T626" s="20"/>
      <c r="U626" s="20"/>
      <c r="V626" s="20"/>
    </row>
    <row r="627" spans="18:22">
      <c r="R627" s="114"/>
      <c r="S627" s="114"/>
      <c r="T627" s="20"/>
      <c r="U627" s="20"/>
      <c r="V627" s="20"/>
    </row>
    <row r="628" spans="18:22">
      <c r="R628" s="114"/>
      <c r="S628" s="114"/>
      <c r="T628" s="20"/>
      <c r="U628" s="20"/>
      <c r="V628" s="20"/>
    </row>
    <row r="629" spans="18:22">
      <c r="R629" s="114"/>
      <c r="S629" s="114"/>
      <c r="T629" s="20"/>
      <c r="U629" s="20"/>
      <c r="V629" s="20"/>
    </row>
    <row r="630" spans="18:22">
      <c r="R630" s="114"/>
      <c r="S630" s="114"/>
      <c r="T630" s="20"/>
      <c r="U630" s="20"/>
      <c r="V630" s="20"/>
    </row>
    <row r="631" spans="18:22">
      <c r="R631" s="114"/>
      <c r="S631" s="114"/>
      <c r="T631" s="20"/>
      <c r="U631" s="20"/>
      <c r="V631" s="20"/>
    </row>
    <row r="632" spans="18:22">
      <c r="R632" s="114"/>
      <c r="S632" s="114"/>
      <c r="T632" s="20"/>
      <c r="U632" s="20"/>
      <c r="V632" s="20"/>
    </row>
    <row r="633" spans="18:22">
      <c r="R633" s="114"/>
      <c r="S633" s="114"/>
      <c r="T633" s="20"/>
      <c r="U633" s="20"/>
      <c r="V633" s="20"/>
    </row>
    <row r="634" spans="18:22">
      <c r="R634" s="114"/>
      <c r="S634" s="114"/>
      <c r="T634" s="20"/>
      <c r="U634" s="20"/>
      <c r="V634" s="20"/>
    </row>
    <row r="635" spans="18:22">
      <c r="R635" s="114"/>
      <c r="S635" s="114"/>
      <c r="T635" s="20"/>
      <c r="U635" s="20"/>
      <c r="V635" s="20"/>
    </row>
    <row r="636" spans="18:22">
      <c r="R636" s="114"/>
      <c r="S636" s="114"/>
      <c r="T636" s="20"/>
      <c r="U636" s="20"/>
      <c r="V636" s="20"/>
    </row>
    <row r="637" spans="18:22">
      <c r="R637" s="114"/>
      <c r="S637" s="114"/>
      <c r="T637" s="20"/>
      <c r="U637" s="20"/>
      <c r="V637" s="20"/>
    </row>
    <row r="638" spans="18:22">
      <c r="R638" s="114"/>
      <c r="S638" s="114"/>
      <c r="T638" s="20"/>
      <c r="U638" s="20"/>
      <c r="V638" s="20"/>
    </row>
    <row r="639" spans="18:22">
      <c r="R639" s="114"/>
      <c r="S639" s="114"/>
      <c r="T639" s="20"/>
      <c r="U639" s="20"/>
      <c r="V639" s="20"/>
    </row>
    <row r="640" spans="18:22">
      <c r="R640" s="114"/>
      <c r="S640" s="114"/>
      <c r="T640" s="20"/>
      <c r="U640" s="20"/>
      <c r="V640" s="20"/>
    </row>
    <row r="641" spans="18:22">
      <c r="R641" s="114"/>
      <c r="S641" s="114"/>
      <c r="T641" s="20"/>
      <c r="U641" s="20"/>
      <c r="V641" s="20"/>
    </row>
    <row r="642" spans="18:22">
      <c r="R642" s="114"/>
      <c r="S642" s="114"/>
      <c r="T642" s="20"/>
      <c r="U642" s="20"/>
      <c r="V642" s="20"/>
    </row>
    <row r="643" spans="18:22">
      <c r="R643" s="114"/>
      <c r="S643" s="114"/>
      <c r="T643" s="20"/>
      <c r="U643" s="20"/>
      <c r="V643" s="20"/>
    </row>
    <row r="644" spans="18:22">
      <c r="R644" s="114"/>
      <c r="S644" s="114"/>
      <c r="T644" s="20"/>
      <c r="U644" s="20"/>
      <c r="V644" s="20"/>
    </row>
    <row r="645" spans="18:22">
      <c r="R645" s="114"/>
      <c r="S645" s="114"/>
      <c r="T645" s="20"/>
      <c r="U645" s="20"/>
      <c r="V645" s="20"/>
    </row>
    <row r="646" spans="18:22">
      <c r="R646" s="114"/>
      <c r="S646" s="114"/>
      <c r="T646" s="20"/>
      <c r="U646" s="20"/>
      <c r="V646" s="20"/>
    </row>
    <row r="647" spans="18:22">
      <c r="R647" s="114"/>
      <c r="S647" s="114"/>
      <c r="T647" s="20"/>
      <c r="U647" s="20"/>
      <c r="V647" s="20"/>
    </row>
    <row r="648" spans="18:22">
      <c r="R648" s="114"/>
      <c r="S648" s="114"/>
      <c r="T648" s="20"/>
      <c r="U648" s="20"/>
      <c r="V648" s="20"/>
    </row>
    <row r="649" spans="18:22">
      <c r="R649" s="114"/>
      <c r="S649" s="114"/>
      <c r="T649" s="20"/>
      <c r="U649" s="20"/>
      <c r="V649" s="20"/>
    </row>
    <row r="650" spans="18:22">
      <c r="R650" s="114"/>
      <c r="S650" s="114"/>
      <c r="T650" s="20"/>
      <c r="U650" s="20"/>
      <c r="V650" s="20"/>
    </row>
    <row r="651" spans="18:22">
      <c r="R651" s="114"/>
      <c r="S651" s="114"/>
      <c r="T651" s="20"/>
      <c r="U651" s="20"/>
      <c r="V651" s="20"/>
    </row>
    <row r="652" spans="18:22">
      <c r="R652" s="114"/>
      <c r="S652" s="114"/>
      <c r="T652" s="20"/>
      <c r="U652" s="20"/>
      <c r="V652" s="20"/>
    </row>
    <row r="653" spans="18:22">
      <c r="R653" s="114"/>
      <c r="S653" s="114"/>
      <c r="T653" s="20"/>
      <c r="U653" s="20"/>
      <c r="V653" s="20"/>
    </row>
    <row r="654" spans="18:22">
      <c r="R654" s="114"/>
      <c r="S654" s="114"/>
      <c r="T654" s="20"/>
      <c r="U654" s="20"/>
      <c r="V654" s="20"/>
    </row>
    <row r="655" spans="18:22">
      <c r="R655" s="114"/>
      <c r="S655" s="114"/>
      <c r="T655" s="20"/>
      <c r="U655" s="20"/>
      <c r="V655" s="20"/>
    </row>
    <row r="656" spans="18:22">
      <c r="R656" s="114"/>
      <c r="S656" s="114"/>
      <c r="T656" s="20"/>
      <c r="U656" s="20"/>
      <c r="V656" s="20"/>
    </row>
    <row r="657" spans="18:22">
      <c r="R657" s="114"/>
      <c r="S657" s="114"/>
      <c r="T657" s="20"/>
      <c r="U657" s="20"/>
      <c r="V657" s="20"/>
    </row>
    <row r="658" spans="18:22">
      <c r="R658" s="114"/>
      <c r="S658" s="114"/>
      <c r="T658" s="20"/>
      <c r="U658" s="20"/>
      <c r="V658" s="20"/>
    </row>
    <row r="659" spans="18:22">
      <c r="R659" s="114"/>
      <c r="S659" s="114"/>
      <c r="T659" s="20"/>
      <c r="U659" s="20"/>
      <c r="V659" s="20"/>
    </row>
    <row r="660" spans="18:22">
      <c r="R660" s="114"/>
      <c r="S660" s="114"/>
      <c r="T660" s="20"/>
      <c r="U660" s="20"/>
      <c r="V660" s="20"/>
    </row>
    <row r="661" spans="18:22">
      <c r="R661" s="114"/>
      <c r="S661" s="114"/>
      <c r="T661" s="20"/>
      <c r="U661" s="20"/>
      <c r="V661" s="20"/>
    </row>
    <row r="662" spans="18:22">
      <c r="R662" s="114"/>
      <c r="S662" s="114"/>
      <c r="T662" s="20"/>
      <c r="U662" s="20"/>
      <c r="V662" s="20"/>
    </row>
    <row r="663" spans="18:22">
      <c r="R663" s="114"/>
      <c r="S663" s="114"/>
      <c r="T663" s="20"/>
      <c r="U663" s="20"/>
      <c r="V663" s="20"/>
    </row>
    <row r="664" spans="18:22">
      <c r="R664" s="114"/>
      <c r="S664" s="114"/>
      <c r="T664" s="20"/>
      <c r="U664" s="20"/>
      <c r="V664" s="20"/>
    </row>
    <row r="665" spans="18:22">
      <c r="R665" s="114"/>
      <c r="S665" s="114"/>
      <c r="T665" s="20"/>
      <c r="U665" s="20"/>
      <c r="V665" s="20"/>
    </row>
    <row r="666" spans="18:22">
      <c r="R666" s="114"/>
      <c r="S666" s="114"/>
      <c r="T666" s="20"/>
      <c r="U666" s="20"/>
      <c r="V666" s="20"/>
    </row>
    <row r="667" spans="18:22">
      <c r="R667" s="114"/>
      <c r="S667" s="114"/>
      <c r="T667" s="20"/>
      <c r="U667" s="20"/>
      <c r="V667" s="20"/>
    </row>
    <row r="668" spans="18:22">
      <c r="R668" s="114"/>
      <c r="S668" s="114"/>
      <c r="T668" s="20"/>
      <c r="U668" s="20"/>
      <c r="V668" s="20"/>
    </row>
    <row r="669" spans="18:22">
      <c r="R669" s="114"/>
      <c r="S669" s="114"/>
      <c r="T669" s="20"/>
      <c r="U669" s="20"/>
      <c r="V669" s="20"/>
    </row>
    <row r="670" spans="18:22">
      <c r="R670" s="114"/>
      <c r="S670" s="114"/>
      <c r="T670" s="20"/>
      <c r="U670" s="20"/>
      <c r="V670" s="20"/>
    </row>
    <row r="671" spans="18:22">
      <c r="R671" s="114"/>
      <c r="S671" s="114"/>
      <c r="T671" s="20"/>
      <c r="U671" s="20"/>
      <c r="V671" s="20"/>
    </row>
    <row r="672" spans="18:22">
      <c r="R672" s="114"/>
      <c r="S672" s="114"/>
      <c r="T672" s="20"/>
      <c r="U672" s="20"/>
      <c r="V672" s="20"/>
    </row>
    <row r="673" spans="18:22">
      <c r="R673" s="114"/>
      <c r="S673" s="114"/>
      <c r="T673" s="20"/>
      <c r="U673" s="20"/>
      <c r="V673" s="20"/>
    </row>
    <row r="674" spans="18:22">
      <c r="R674" s="114"/>
      <c r="S674" s="114"/>
      <c r="T674" s="20"/>
      <c r="U674" s="20"/>
      <c r="V674" s="20"/>
    </row>
    <row r="675" spans="18:22">
      <c r="R675" s="114"/>
      <c r="S675" s="114"/>
      <c r="T675" s="20"/>
      <c r="U675" s="20"/>
      <c r="V675" s="20"/>
    </row>
    <row r="676" spans="18:22">
      <c r="R676" s="114"/>
      <c r="S676" s="114"/>
      <c r="T676" s="20"/>
      <c r="U676" s="20"/>
      <c r="V676" s="20"/>
    </row>
    <row r="677" spans="18:22">
      <c r="R677" s="114"/>
      <c r="S677" s="114"/>
      <c r="T677" s="20"/>
      <c r="U677" s="20"/>
      <c r="V677" s="20"/>
    </row>
    <row r="678" spans="18:22">
      <c r="R678" s="114"/>
      <c r="S678" s="114"/>
      <c r="T678" s="20"/>
      <c r="U678" s="20"/>
      <c r="V678" s="20"/>
    </row>
    <row r="679" spans="18:22">
      <c r="R679" s="114"/>
      <c r="S679" s="114"/>
      <c r="T679" s="20"/>
      <c r="U679" s="20"/>
      <c r="V679" s="20"/>
    </row>
    <row r="680" spans="18:22">
      <c r="R680" s="114"/>
      <c r="S680" s="114"/>
      <c r="T680" s="20"/>
      <c r="U680" s="20"/>
      <c r="V680" s="20"/>
    </row>
    <row r="681" spans="18:22">
      <c r="R681" s="114"/>
      <c r="S681" s="114"/>
      <c r="T681" s="20"/>
      <c r="U681" s="20"/>
      <c r="V681" s="20"/>
    </row>
    <row r="682" spans="18:22">
      <c r="R682" s="114"/>
      <c r="S682" s="114"/>
      <c r="T682" s="20"/>
      <c r="U682" s="20"/>
      <c r="V682" s="20"/>
    </row>
    <row r="683" spans="18:22">
      <c r="R683" s="114"/>
      <c r="S683" s="114"/>
      <c r="T683" s="20"/>
      <c r="U683" s="20"/>
      <c r="V683" s="20"/>
    </row>
    <row r="684" spans="18:22">
      <c r="R684" s="114"/>
      <c r="S684" s="114"/>
      <c r="T684" s="20"/>
      <c r="U684" s="20"/>
      <c r="V684" s="20"/>
    </row>
    <row r="685" spans="18:22">
      <c r="R685" s="114"/>
      <c r="S685" s="114"/>
      <c r="T685" s="20"/>
      <c r="U685" s="20"/>
      <c r="V685" s="20"/>
    </row>
    <row r="686" spans="18:22">
      <c r="R686" s="114"/>
      <c r="S686" s="114"/>
      <c r="T686" s="20"/>
      <c r="U686" s="20"/>
      <c r="V686" s="20"/>
    </row>
    <row r="687" spans="18:22">
      <c r="R687" s="114"/>
      <c r="S687" s="114"/>
      <c r="T687" s="20"/>
      <c r="U687" s="20"/>
      <c r="V687" s="20"/>
    </row>
    <row r="688" spans="18:22">
      <c r="R688" s="114"/>
      <c r="S688" s="114"/>
      <c r="T688" s="20"/>
      <c r="U688" s="20"/>
      <c r="V688" s="20"/>
    </row>
    <row r="689" spans="18:22">
      <c r="R689" s="114"/>
      <c r="S689" s="114"/>
      <c r="T689" s="20"/>
      <c r="U689" s="20"/>
      <c r="V689" s="20"/>
    </row>
    <row r="690" spans="18:22">
      <c r="R690" s="114"/>
      <c r="S690" s="114"/>
      <c r="T690" s="20"/>
      <c r="U690" s="20"/>
      <c r="V690" s="20"/>
    </row>
    <row r="691" spans="18:22">
      <c r="R691" s="114"/>
      <c r="S691" s="114"/>
      <c r="T691" s="20"/>
      <c r="U691" s="20"/>
      <c r="V691" s="20"/>
    </row>
    <row r="692" spans="18:22">
      <c r="R692" s="114"/>
      <c r="S692" s="114"/>
      <c r="T692" s="20"/>
      <c r="U692" s="20"/>
      <c r="V692" s="20"/>
    </row>
    <row r="693" spans="18:22">
      <c r="R693" s="114"/>
      <c r="S693" s="114"/>
      <c r="T693" s="20"/>
      <c r="U693" s="20"/>
      <c r="V693" s="20"/>
    </row>
    <row r="694" spans="18:22">
      <c r="R694" s="114"/>
      <c r="S694" s="114"/>
      <c r="T694" s="20"/>
      <c r="U694" s="20"/>
      <c r="V694" s="20"/>
    </row>
    <row r="695" spans="18:22">
      <c r="R695" s="114"/>
      <c r="S695" s="114"/>
      <c r="T695" s="20"/>
      <c r="U695" s="20"/>
      <c r="V695" s="20"/>
    </row>
    <row r="696" spans="18:22">
      <c r="R696" s="114"/>
      <c r="S696" s="114"/>
      <c r="T696" s="20"/>
      <c r="U696" s="20"/>
      <c r="V696" s="20"/>
    </row>
    <row r="697" spans="18:22">
      <c r="R697" s="114"/>
      <c r="S697" s="114"/>
      <c r="T697" s="20"/>
      <c r="U697" s="20"/>
      <c r="V697" s="20"/>
    </row>
    <row r="698" spans="18:22">
      <c r="R698" s="114"/>
      <c r="S698" s="114"/>
      <c r="T698" s="20"/>
      <c r="U698" s="20"/>
      <c r="V698" s="20"/>
    </row>
    <row r="699" spans="18:22">
      <c r="R699" s="114"/>
      <c r="S699" s="114"/>
      <c r="T699" s="20"/>
      <c r="U699" s="20"/>
      <c r="V699" s="20"/>
    </row>
    <row r="700" spans="18:22">
      <c r="R700" s="114"/>
      <c r="S700" s="114"/>
      <c r="T700" s="20"/>
      <c r="U700" s="20"/>
      <c r="V700" s="20"/>
    </row>
    <row r="701" spans="18:22">
      <c r="R701" s="114"/>
      <c r="S701" s="114"/>
      <c r="T701" s="20"/>
      <c r="U701" s="20"/>
      <c r="V701" s="20"/>
    </row>
    <row r="702" spans="18:22">
      <c r="R702" s="114"/>
      <c r="S702" s="114"/>
      <c r="T702" s="20"/>
      <c r="U702" s="20"/>
      <c r="V702" s="20"/>
    </row>
    <row r="703" spans="18:22">
      <c r="R703" s="114"/>
      <c r="S703" s="114"/>
      <c r="T703" s="20"/>
      <c r="U703" s="20"/>
      <c r="V703" s="20"/>
    </row>
    <row r="704" spans="18:22">
      <c r="R704" s="114"/>
      <c r="S704" s="114"/>
      <c r="T704" s="20"/>
      <c r="U704" s="20"/>
      <c r="V704" s="20"/>
    </row>
    <row r="705" spans="18:22">
      <c r="R705" s="114"/>
      <c r="S705" s="114"/>
      <c r="T705" s="20"/>
      <c r="U705" s="20"/>
      <c r="V705" s="20"/>
    </row>
    <row r="706" spans="18:22">
      <c r="R706" s="114"/>
      <c r="S706" s="114"/>
      <c r="T706" s="20"/>
      <c r="U706" s="20"/>
      <c r="V706" s="20"/>
    </row>
    <row r="707" spans="18:22">
      <c r="R707" s="114"/>
      <c r="S707" s="114"/>
      <c r="T707" s="20"/>
      <c r="U707" s="20"/>
      <c r="V707" s="20"/>
    </row>
    <row r="708" spans="18:22">
      <c r="R708" s="114"/>
      <c r="S708" s="114"/>
      <c r="T708" s="20"/>
      <c r="U708" s="20"/>
      <c r="V708" s="20"/>
    </row>
    <row r="709" spans="18:22">
      <c r="R709" s="114"/>
      <c r="S709" s="114"/>
      <c r="T709" s="20"/>
      <c r="U709" s="20"/>
      <c r="V709" s="20"/>
    </row>
    <row r="710" spans="18:22">
      <c r="R710" s="114"/>
      <c r="S710" s="114"/>
      <c r="T710" s="20"/>
      <c r="U710" s="20"/>
      <c r="V710" s="20"/>
    </row>
    <row r="711" spans="18:22">
      <c r="R711" s="114"/>
      <c r="S711" s="114"/>
      <c r="T711" s="20"/>
      <c r="U711" s="20"/>
      <c r="V711" s="20"/>
    </row>
    <row r="712" spans="18:22">
      <c r="R712" s="114"/>
      <c r="S712" s="114"/>
      <c r="T712" s="20"/>
      <c r="U712" s="20"/>
      <c r="V712" s="20"/>
    </row>
    <row r="713" spans="18:22">
      <c r="R713" s="114"/>
      <c r="S713" s="114"/>
      <c r="T713" s="20"/>
      <c r="U713" s="20"/>
      <c r="V713" s="20"/>
    </row>
    <row r="714" spans="18:22">
      <c r="R714" s="114"/>
      <c r="S714" s="114"/>
      <c r="T714" s="20"/>
      <c r="U714" s="20"/>
      <c r="V714" s="20"/>
    </row>
    <row r="715" spans="18:22">
      <c r="R715" s="114"/>
      <c r="S715" s="114"/>
      <c r="T715" s="20"/>
      <c r="U715" s="20"/>
      <c r="V715" s="20"/>
    </row>
    <row r="716" spans="18:22">
      <c r="R716" s="114"/>
      <c r="S716" s="114"/>
      <c r="T716" s="20"/>
      <c r="U716" s="20"/>
      <c r="V716" s="20"/>
    </row>
    <row r="717" spans="18:22">
      <c r="R717" s="114"/>
      <c r="S717" s="114"/>
      <c r="T717" s="20"/>
      <c r="U717" s="20"/>
      <c r="V717" s="20"/>
    </row>
    <row r="718" spans="18:22">
      <c r="R718" s="114"/>
      <c r="S718" s="114"/>
      <c r="T718" s="20"/>
      <c r="U718" s="20"/>
      <c r="V718" s="20"/>
    </row>
    <row r="719" spans="18:22">
      <c r="R719" s="114"/>
      <c r="S719" s="114"/>
      <c r="T719" s="20"/>
      <c r="U719" s="20"/>
      <c r="V719" s="20"/>
    </row>
    <row r="720" spans="18:22">
      <c r="R720" s="114"/>
      <c r="S720" s="114"/>
      <c r="T720" s="20"/>
      <c r="U720" s="20"/>
      <c r="V720" s="20"/>
    </row>
    <row r="721" spans="18:22">
      <c r="R721" s="114"/>
      <c r="S721" s="114"/>
      <c r="T721" s="20"/>
      <c r="U721" s="20"/>
      <c r="V721" s="20"/>
    </row>
    <row r="722" spans="18:22">
      <c r="R722" s="114"/>
      <c r="S722" s="114"/>
      <c r="T722" s="20"/>
      <c r="U722" s="20"/>
      <c r="V722" s="20"/>
    </row>
    <row r="723" spans="18:22">
      <c r="R723" s="114"/>
      <c r="S723" s="114"/>
      <c r="T723" s="20"/>
      <c r="U723" s="20"/>
      <c r="V723" s="20"/>
    </row>
    <row r="724" spans="18:22">
      <c r="R724" s="114"/>
      <c r="S724" s="114"/>
      <c r="T724" s="20"/>
      <c r="U724" s="20"/>
      <c r="V724" s="20"/>
    </row>
    <row r="725" spans="18:22">
      <c r="R725" s="114"/>
      <c r="S725" s="114"/>
      <c r="T725" s="20"/>
      <c r="U725" s="20"/>
      <c r="V725" s="20"/>
    </row>
    <row r="726" spans="18:22">
      <c r="R726" s="114"/>
      <c r="S726" s="114"/>
      <c r="T726" s="20"/>
      <c r="U726" s="20"/>
      <c r="V726" s="20"/>
    </row>
    <row r="727" spans="18:22">
      <c r="R727" s="114"/>
      <c r="S727" s="114"/>
      <c r="T727" s="20"/>
      <c r="U727" s="20"/>
      <c r="V727" s="20"/>
    </row>
    <row r="728" spans="18:22">
      <c r="R728" s="114"/>
      <c r="S728" s="114"/>
      <c r="T728" s="20"/>
      <c r="U728" s="20"/>
      <c r="V728" s="20"/>
    </row>
    <row r="729" spans="18:22">
      <c r="R729" s="114"/>
      <c r="S729" s="114"/>
      <c r="T729" s="20"/>
      <c r="U729" s="20"/>
      <c r="V729" s="20"/>
    </row>
    <row r="730" spans="18:22">
      <c r="R730" s="114"/>
      <c r="S730" s="114"/>
      <c r="T730" s="20"/>
      <c r="U730" s="20"/>
      <c r="V730" s="20"/>
    </row>
    <row r="731" spans="18:22">
      <c r="R731" s="114"/>
      <c r="S731" s="114"/>
      <c r="T731" s="20"/>
      <c r="U731" s="20"/>
      <c r="V731" s="20"/>
    </row>
    <row r="732" spans="18:22">
      <c r="R732" s="114"/>
      <c r="S732" s="114"/>
      <c r="T732" s="20"/>
      <c r="U732" s="20"/>
      <c r="V732" s="20"/>
    </row>
    <row r="733" spans="18:22">
      <c r="R733" s="114"/>
      <c r="S733" s="114"/>
      <c r="T733" s="20"/>
      <c r="U733" s="20"/>
      <c r="V733" s="20"/>
    </row>
    <row r="734" spans="18:22">
      <c r="R734" s="114"/>
      <c r="S734" s="114"/>
      <c r="T734" s="20"/>
      <c r="U734" s="20"/>
      <c r="V734" s="20"/>
    </row>
    <row r="735" spans="18:22">
      <c r="R735" s="114"/>
      <c r="S735" s="114"/>
      <c r="T735" s="20"/>
      <c r="U735" s="20"/>
      <c r="V735" s="20"/>
    </row>
    <row r="736" spans="18:22">
      <c r="R736" s="114"/>
      <c r="S736" s="114"/>
      <c r="T736" s="20"/>
      <c r="U736" s="20"/>
      <c r="V736" s="20"/>
    </row>
    <row r="737" spans="18:22">
      <c r="R737" s="114"/>
      <c r="S737" s="114"/>
      <c r="T737" s="20"/>
      <c r="U737" s="20"/>
      <c r="V737" s="20"/>
    </row>
    <row r="738" spans="18:22">
      <c r="R738" s="114"/>
      <c r="S738" s="114"/>
      <c r="T738" s="20"/>
      <c r="U738" s="20"/>
      <c r="V738" s="20"/>
    </row>
    <row r="739" spans="18:22">
      <c r="R739" s="114"/>
      <c r="S739" s="114"/>
      <c r="T739" s="20"/>
      <c r="U739" s="20"/>
      <c r="V739" s="20"/>
    </row>
    <row r="740" spans="18:22">
      <c r="R740" s="114"/>
      <c r="S740" s="114"/>
      <c r="T740" s="20"/>
      <c r="U740" s="20"/>
      <c r="V740" s="20"/>
    </row>
    <row r="741" spans="18:22">
      <c r="R741" s="114"/>
      <c r="S741" s="114"/>
      <c r="T741" s="20"/>
      <c r="U741" s="20"/>
      <c r="V741" s="20"/>
    </row>
    <row r="742" spans="18:22">
      <c r="R742" s="114"/>
      <c r="S742" s="114"/>
      <c r="T742" s="20"/>
      <c r="U742" s="20"/>
      <c r="V742" s="20"/>
    </row>
    <row r="743" spans="18:22">
      <c r="R743" s="114"/>
      <c r="S743" s="114"/>
      <c r="T743" s="20"/>
      <c r="U743" s="20"/>
      <c r="V743" s="20"/>
    </row>
    <row r="744" spans="18:22">
      <c r="R744" s="114"/>
      <c r="S744" s="114"/>
      <c r="T744" s="20"/>
      <c r="U744" s="20"/>
      <c r="V744" s="20"/>
    </row>
    <row r="745" spans="18:22">
      <c r="R745" s="114"/>
      <c r="S745" s="114"/>
      <c r="T745" s="20"/>
      <c r="U745" s="20"/>
      <c r="V745" s="20"/>
    </row>
    <row r="746" spans="18:22">
      <c r="R746" s="114"/>
      <c r="S746" s="114"/>
      <c r="T746" s="20"/>
      <c r="U746" s="20"/>
      <c r="V746" s="20"/>
    </row>
    <row r="747" spans="18:22">
      <c r="R747" s="114"/>
      <c r="S747" s="114"/>
      <c r="T747" s="20"/>
      <c r="U747" s="20"/>
      <c r="V747" s="20"/>
    </row>
    <row r="748" spans="18:22">
      <c r="R748" s="114"/>
      <c r="S748" s="114"/>
      <c r="T748" s="20"/>
      <c r="U748" s="20"/>
      <c r="V748" s="20"/>
    </row>
    <row r="749" spans="18:22">
      <c r="R749" s="114"/>
      <c r="S749" s="114"/>
      <c r="T749" s="20"/>
      <c r="U749" s="20"/>
      <c r="V749" s="20"/>
    </row>
    <row r="750" spans="18:22">
      <c r="R750" s="114"/>
      <c r="S750" s="114"/>
      <c r="T750" s="20"/>
      <c r="U750" s="20"/>
      <c r="V750" s="20"/>
    </row>
    <row r="751" spans="18:22">
      <c r="R751" s="114"/>
      <c r="S751" s="114"/>
      <c r="T751" s="20"/>
      <c r="U751" s="20"/>
      <c r="V751" s="20"/>
    </row>
    <row r="752" spans="18:22">
      <c r="R752" s="114"/>
      <c r="S752" s="114"/>
      <c r="T752" s="20"/>
      <c r="U752" s="20"/>
      <c r="V752" s="20"/>
    </row>
    <row r="753" spans="18:22">
      <c r="R753" s="114"/>
      <c r="S753" s="114"/>
      <c r="T753" s="20"/>
      <c r="U753" s="20"/>
      <c r="V753" s="20"/>
    </row>
    <row r="754" spans="18:22">
      <c r="R754" s="114"/>
      <c r="S754" s="114"/>
      <c r="T754" s="20"/>
      <c r="U754" s="20"/>
      <c r="V754" s="20"/>
    </row>
    <row r="755" spans="18:22">
      <c r="R755" s="114"/>
      <c r="S755" s="114"/>
      <c r="T755" s="20"/>
      <c r="U755" s="20"/>
      <c r="V755" s="20"/>
    </row>
    <row r="756" spans="18:22">
      <c r="R756" s="114"/>
      <c r="S756" s="114"/>
      <c r="T756" s="20"/>
      <c r="U756" s="20"/>
      <c r="V756" s="20"/>
    </row>
    <row r="757" spans="18:22">
      <c r="R757" s="114"/>
      <c r="S757" s="114"/>
      <c r="T757" s="20"/>
      <c r="U757" s="20"/>
      <c r="V757" s="20"/>
    </row>
    <row r="758" spans="18:22">
      <c r="R758" s="114"/>
      <c r="S758" s="114"/>
      <c r="T758" s="20"/>
      <c r="U758" s="20"/>
      <c r="V758" s="20"/>
    </row>
    <row r="759" spans="18:22">
      <c r="R759" s="114"/>
      <c r="S759" s="114"/>
      <c r="T759" s="20"/>
      <c r="U759" s="20"/>
      <c r="V759" s="20"/>
    </row>
    <row r="760" spans="18:22">
      <c r="R760" s="114"/>
      <c r="S760" s="114"/>
      <c r="T760" s="20"/>
      <c r="U760" s="20"/>
      <c r="V760" s="20"/>
    </row>
    <row r="761" spans="18:22">
      <c r="R761" s="114"/>
      <c r="S761" s="114"/>
      <c r="T761" s="20"/>
      <c r="U761" s="20"/>
      <c r="V761" s="20"/>
    </row>
    <row r="762" spans="18:22">
      <c r="R762" s="114"/>
      <c r="S762" s="114"/>
      <c r="T762" s="20"/>
      <c r="U762" s="20"/>
      <c r="V762" s="20"/>
    </row>
    <row r="763" spans="18:22">
      <c r="R763" s="114"/>
      <c r="S763" s="114"/>
      <c r="T763" s="20"/>
      <c r="U763" s="20"/>
      <c r="V763" s="20"/>
    </row>
    <row r="764" spans="18:22">
      <c r="R764" s="114"/>
      <c r="S764" s="114"/>
      <c r="T764" s="20"/>
      <c r="U764" s="20"/>
      <c r="V764" s="20"/>
    </row>
    <row r="765" spans="18:22">
      <c r="R765" s="114"/>
      <c r="S765" s="114"/>
      <c r="T765" s="20"/>
      <c r="U765" s="20"/>
      <c r="V765" s="20"/>
    </row>
    <row r="766" spans="18:22">
      <c r="R766" s="114"/>
      <c r="S766" s="114"/>
      <c r="T766" s="20"/>
      <c r="U766" s="20"/>
      <c r="V766" s="20"/>
    </row>
    <row r="767" spans="18:22">
      <c r="R767" s="114"/>
      <c r="S767" s="114"/>
      <c r="T767" s="20"/>
      <c r="U767" s="20"/>
      <c r="V767" s="20"/>
    </row>
    <row r="768" spans="18:22">
      <c r="R768" s="114"/>
      <c r="S768" s="114"/>
      <c r="T768" s="20"/>
      <c r="U768" s="20"/>
      <c r="V768" s="20"/>
    </row>
    <row r="769" spans="18:22">
      <c r="R769" s="114"/>
      <c r="S769" s="114"/>
      <c r="T769" s="20"/>
      <c r="U769" s="20"/>
      <c r="V769" s="20"/>
    </row>
    <row r="770" spans="18:22">
      <c r="R770" s="114"/>
      <c r="S770" s="114"/>
      <c r="T770" s="20"/>
      <c r="U770" s="20"/>
      <c r="V770" s="20"/>
    </row>
    <row r="771" spans="18:22">
      <c r="R771" s="114"/>
      <c r="S771" s="114"/>
      <c r="T771" s="20"/>
      <c r="U771" s="20"/>
      <c r="V771" s="20"/>
    </row>
    <row r="772" spans="18:22">
      <c r="R772" s="114"/>
      <c r="S772" s="114"/>
      <c r="T772" s="20"/>
      <c r="U772" s="20"/>
      <c r="V772" s="20"/>
    </row>
    <row r="773" spans="18:22">
      <c r="R773" s="114"/>
      <c r="S773" s="114"/>
      <c r="T773" s="20"/>
      <c r="U773" s="20"/>
      <c r="V773" s="20"/>
    </row>
    <row r="774" spans="18:22">
      <c r="R774" s="114"/>
      <c r="S774" s="114"/>
      <c r="T774" s="20"/>
      <c r="U774" s="20"/>
      <c r="V774" s="20"/>
    </row>
    <row r="775" spans="18:22">
      <c r="R775" s="114"/>
      <c r="S775" s="114"/>
      <c r="T775" s="20"/>
      <c r="U775" s="20"/>
      <c r="V775" s="20"/>
    </row>
    <row r="776" spans="18:22">
      <c r="R776" s="114"/>
      <c r="S776" s="114"/>
      <c r="T776" s="20"/>
      <c r="U776" s="20"/>
      <c r="V776" s="20"/>
    </row>
    <row r="777" spans="18:22">
      <c r="R777" s="114"/>
      <c r="S777" s="114"/>
      <c r="T777" s="20"/>
      <c r="U777" s="20"/>
      <c r="V777" s="20"/>
    </row>
    <row r="778" spans="18:22">
      <c r="R778" s="114"/>
      <c r="S778" s="114"/>
      <c r="T778" s="20"/>
      <c r="U778" s="20"/>
      <c r="V778" s="20"/>
    </row>
    <row r="779" spans="18:22">
      <c r="R779" s="114"/>
      <c r="S779" s="114"/>
      <c r="T779" s="20"/>
      <c r="U779" s="20"/>
      <c r="V779" s="20"/>
    </row>
    <row r="780" spans="18:22">
      <c r="R780" s="114"/>
      <c r="S780" s="114"/>
      <c r="T780" s="20"/>
      <c r="U780" s="20"/>
      <c r="V780" s="20"/>
    </row>
    <row r="781" spans="18:22">
      <c r="R781" s="114"/>
      <c r="S781" s="114"/>
      <c r="T781" s="20"/>
      <c r="U781" s="20"/>
      <c r="V781" s="20"/>
    </row>
    <row r="782" spans="18:22">
      <c r="R782" s="114"/>
      <c r="S782" s="114"/>
      <c r="T782" s="20"/>
      <c r="U782" s="20"/>
      <c r="V782" s="20"/>
    </row>
    <row r="783" spans="18:22">
      <c r="R783" s="114"/>
      <c r="S783" s="114"/>
      <c r="T783" s="20"/>
      <c r="U783" s="20"/>
      <c r="V783" s="20"/>
    </row>
    <row r="784" spans="18:22">
      <c r="R784" s="114"/>
      <c r="S784" s="114"/>
      <c r="T784" s="20"/>
      <c r="U784" s="20"/>
      <c r="V784" s="20"/>
    </row>
    <row r="785" spans="18:22">
      <c r="R785" s="114"/>
      <c r="S785" s="114"/>
      <c r="T785" s="20"/>
      <c r="U785" s="20"/>
      <c r="V785" s="20"/>
    </row>
    <row r="786" spans="18:22">
      <c r="R786" s="114"/>
      <c r="S786" s="114"/>
      <c r="T786" s="20"/>
      <c r="U786" s="20"/>
      <c r="V786" s="20"/>
    </row>
    <row r="787" spans="18:22">
      <c r="R787" s="114"/>
      <c r="S787" s="114"/>
      <c r="T787" s="20"/>
      <c r="U787" s="20"/>
      <c r="V787" s="20"/>
    </row>
    <row r="788" spans="18:22">
      <c r="R788" s="114"/>
      <c r="S788" s="114"/>
      <c r="T788" s="20"/>
      <c r="U788" s="20"/>
      <c r="V788" s="20"/>
    </row>
    <row r="789" spans="18:22">
      <c r="R789" s="114"/>
      <c r="S789" s="114"/>
      <c r="T789" s="20"/>
      <c r="U789" s="20"/>
      <c r="V789" s="20"/>
    </row>
    <row r="790" spans="18:22">
      <c r="R790" s="114"/>
      <c r="S790" s="114"/>
      <c r="T790" s="20"/>
      <c r="U790" s="20"/>
      <c r="V790" s="20"/>
    </row>
    <row r="791" spans="18:22">
      <c r="R791" s="114"/>
      <c r="S791" s="114"/>
      <c r="T791" s="20"/>
      <c r="U791" s="20"/>
      <c r="V791" s="20"/>
    </row>
    <row r="792" spans="18:22">
      <c r="R792" s="114"/>
      <c r="S792" s="114"/>
      <c r="T792" s="20"/>
      <c r="U792" s="20"/>
      <c r="V792" s="20"/>
    </row>
    <row r="793" spans="18:22">
      <c r="R793" s="114"/>
      <c r="S793" s="114"/>
      <c r="T793" s="20"/>
      <c r="U793" s="20"/>
      <c r="V793" s="20"/>
    </row>
    <row r="794" spans="18:22">
      <c r="R794" s="114"/>
      <c r="S794" s="114"/>
      <c r="T794" s="20"/>
      <c r="U794" s="20"/>
      <c r="V794" s="20"/>
    </row>
    <row r="795" spans="18:22">
      <c r="R795" s="114"/>
      <c r="S795" s="114"/>
      <c r="T795" s="20"/>
      <c r="U795" s="20"/>
      <c r="V795" s="20"/>
    </row>
    <row r="796" spans="18:22">
      <c r="R796" s="114"/>
      <c r="S796" s="114"/>
      <c r="T796" s="20"/>
      <c r="U796" s="20"/>
      <c r="V796" s="20"/>
    </row>
    <row r="797" spans="18:22">
      <c r="R797" s="114"/>
      <c r="S797" s="114"/>
      <c r="T797" s="20"/>
      <c r="U797" s="20"/>
      <c r="V797" s="20"/>
    </row>
    <row r="798" spans="18:22">
      <c r="R798" s="114"/>
      <c r="S798" s="114"/>
      <c r="T798" s="20"/>
      <c r="U798" s="20"/>
      <c r="V798" s="20"/>
    </row>
    <row r="799" spans="18:22">
      <c r="R799" s="114"/>
      <c r="S799" s="114"/>
      <c r="T799" s="20"/>
      <c r="U799" s="20"/>
      <c r="V799" s="20"/>
    </row>
    <row r="800" spans="18:22">
      <c r="R800" s="114"/>
      <c r="S800" s="114"/>
      <c r="T800" s="20"/>
      <c r="U800" s="20"/>
      <c r="V800" s="20"/>
    </row>
    <row r="801" spans="18:22">
      <c r="R801" s="114"/>
      <c r="S801" s="114"/>
      <c r="T801" s="20"/>
      <c r="U801" s="20"/>
      <c r="V801" s="20"/>
    </row>
    <row r="802" spans="18:22">
      <c r="R802" s="114"/>
      <c r="S802" s="114"/>
      <c r="T802" s="20"/>
      <c r="U802" s="20"/>
      <c r="V802" s="20"/>
    </row>
    <row r="803" spans="18:22">
      <c r="R803" s="114"/>
      <c r="S803" s="114"/>
      <c r="T803" s="20"/>
      <c r="U803" s="20"/>
      <c r="V803" s="20"/>
    </row>
    <row r="804" spans="18:22">
      <c r="R804" s="114"/>
      <c r="S804" s="114"/>
      <c r="T804" s="20"/>
      <c r="U804" s="20"/>
      <c r="V804" s="20"/>
    </row>
    <row r="805" spans="18:22">
      <c r="R805" s="114"/>
      <c r="S805" s="114"/>
      <c r="T805" s="20"/>
      <c r="U805" s="20"/>
      <c r="V805" s="20"/>
    </row>
    <row r="806" spans="18:22">
      <c r="R806" s="114"/>
      <c r="S806" s="114"/>
      <c r="T806" s="20"/>
      <c r="U806" s="20"/>
      <c r="V806" s="20"/>
    </row>
    <row r="807" spans="18:22">
      <c r="R807" s="114"/>
      <c r="S807" s="114"/>
      <c r="T807" s="20"/>
      <c r="U807" s="20"/>
      <c r="V807" s="20"/>
    </row>
    <row r="808" spans="18:22">
      <c r="R808" s="114"/>
      <c r="S808" s="114"/>
      <c r="T808" s="20"/>
      <c r="U808" s="20"/>
      <c r="V808" s="20"/>
    </row>
    <row r="809" spans="18:22">
      <c r="R809" s="114"/>
      <c r="S809" s="114"/>
      <c r="T809" s="20"/>
      <c r="U809" s="20"/>
      <c r="V809" s="20"/>
    </row>
    <row r="810" spans="18:22">
      <c r="R810" s="114"/>
      <c r="S810" s="114"/>
      <c r="T810" s="20"/>
      <c r="U810" s="20"/>
      <c r="V810" s="20"/>
    </row>
    <row r="811" spans="18:22">
      <c r="R811" s="114"/>
      <c r="S811" s="114"/>
      <c r="T811" s="20"/>
      <c r="U811" s="20"/>
      <c r="V811" s="20"/>
    </row>
    <row r="812" spans="18:22">
      <c r="R812" s="114"/>
      <c r="S812" s="114"/>
      <c r="T812" s="20"/>
      <c r="U812" s="20"/>
      <c r="V812" s="20"/>
    </row>
    <row r="813" spans="18:22">
      <c r="R813" s="114"/>
      <c r="S813" s="114"/>
      <c r="T813" s="20"/>
      <c r="U813" s="20"/>
      <c r="V813" s="20"/>
    </row>
    <row r="814" spans="18:22">
      <c r="R814" s="114"/>
      <c r="S814" s="114"/>
      <c r="T814" s="20"/>
      <c r="U814" s="20"/>
      <c r="V814" s="20"/>
    </row>
    <row r="815" spans="18:22">
      <c r="R815" s="114"/>
      <c r="S815" s="114"/>
      <c r="T815" s="20"/>
      <c r="U815" s="20"/>
      <c r="V815" s="20"/>
    </row>
    <row r="816" spans="18:22">
      <c r="R816" s="114"/>
      <c r="S816" s="114"/>
      <c r="T816" s="20"/>
      <c r="U816" s="20"/>
      <c r="V816" s="20"/>
    </row>
    <row r="817" spans="18:22">
      <c r="R817" s="114"/>
      <c r="S817" s="114"/>
      <c r="T817" s="20"/>
      <c r="U817" s="20"/>
      <c r="V817" s="20"/>
    </row>
    <row r="818" spans="18:22">
      <c r="R818" s="114"/>
      <c r="S818" s="114"/>
      <c r="T818" s="20"/>
      <c r="U818" s="20"/>
      <c r="V818" s="20"/>
    </row>
    <row r="819" spans="18:22">
      <c r="R819" s="114"/>
      <c r="S819" s="114"/>
      <c r="T819" s="20"/>
      <c r="U819" s="20"/>
      <c r="V819" s="20"/>
    </row>
    <row r="820" spans="18:22">
      <c r="R820" s="114"/>
      <c r="S820" s="114"/>
      <c r="T820" s="20"/>
      <c r="U820" s="20"/>
      <c r="V820" s="20"/>
    </row>
    <row r="821" spans="18:22">
      <c r="R821" s="114"/>
      <c r="S821" s="114"/>
      <c r="T821" s="20"/>
      <c r="U821" s="20"/>
      <c r="V821" s="20"/>
    </row>
    <row r="822" spans="18:22">
      <c r="R822" s="114"/>
      <c r="S822" s="114"/>
      <c r="T822" s="20"/>
      <c r="U822" s="20"/>
      <c r="V822" s="20"/>
    </row>
    <row r="823" spans="18:22">
      <c r="R823" s="114"/>
      <c r="S823" s="114"/>
      <c r="T823" s="20"/>
      <c r="U823" s="20"/>
      <c r="V823" s="20"/>
    </row>
    <row r="824" spans="18:22">
      <c r="R824" s="114"/>
      <c r="S824" s="114"/>
      <c r="T824" s="20"/>
      <c r="U824" s="20"/>
      <c r="V824" s="20"/>
    </row>
    <row r="825" spans="18:22">
      <c r="R825" s="114"/>
      <c r="S825" s="114"/>
      <c r="T825" s="20"/>
      <c r="U825" s="20"/>
      <c r="V825" s="20"/>
    </row>
    <row r="826" spans="18:22">
      <c r="R826" s="114"/>
      <c r="S826" s="114"/>
      <c r="T826" s="20"/>
      <c r="U826" s="20"/>
      <c r="V826" s="20"/>
    </row>
    <row r="827" spans="18:22">
      <c r="R827" s="114"/>
      <c r="S827" s="114"/>
      <c r="T827" s="20"/>
      <c r="U827" s="20"/>
      <c r="V827" s="20"/>
    </row>
    <row r="828" spans="18:22">
      <c r="R828" s="114"/>
      <c r="S828" s="114"/>
      <c r="T828" s="20"/>
      <c r="U828" s="20"/>
      <c r="V828" s="20"/>
    </row>
    <row r="829" spans="18:22">
      <c r="R829" s="114"/>
      <c r="S829" s="114"/>
      <c r="T829" s="20"/>
      <c r="U829" s="20"/>
      <c r="V829" s="20"/>
    </row>
    <row r="830" spans="18:22">
      <c r="R830" s="114"/>
      <c r="S830" s="114"/>
      <c r="T830" s="20"/>
      <c r="U830" s="20"/>
      <c r="V830" s="20"/>
    </row>
    <row r="831" spans="18:22">
      <c r="R831" s="114"/>
      <c r="S831" s="114"/>
      <c r="T831" s="20"/>
      <c r="U831" s="20"/>
      <c r="V831" s="20"/>
    </row>
    <row r="832" spans="18:22">
      <c r="R832" s="114"/>
      <c r="S832" s="114"/>
      <c r="T832" s="20"/>
      <c r="U832" s="20"/>
      <c r="V832" s="20"/>
    </row>
    <row r="833" spans="18:22">
      <c r="R833" s="114"/>
      <c r="S833" s="114"/>
      <c r="T833" s="20"/>
      <c r="U833" s="20"/>
      <c r="V833" s="20"/>
    </row>
    <row r="834" spans="18:22">
      <c r="R834" s="114"/>
      <c r="S834" s="114"/>
      <c r="T834" s="20"/>
      <c r="U834" s="20"/>
      <c r="V834" s="20"/>
    </row>
    <row r="835" spans="18:22">
      <c r="R835" s="114"/>
      <c r="S835" s="114"/>
      <c r="T835" s="20"/>
      <c r="U835" s="20"/>
      <c r="V835" s="20"/>
    </row>
    <row r="836" spans="18:22">
      <c r="R836" s="114"/>
      <c r="S836" s="114"/>
      <c r="T836" s="20"/>
      <c r="U836" s="20"/>
      <c r="V836" s="20"/>
    </row>
    <row r="837" spans="18:22">
      <c r="R837" s="114"/>
      <c r="S837" s="114"/>
      <c r="T837" s="20"/>
      <c r="U837" s="20"/>
      <c r="V837" s="20"/>
    </row>
    <row r="838" spans="18:22">
      <c r="R838" s="114"/>
      <c r="S838" s="114"/>
      <c r="T838" s="20"/>
      <c r="U838" s="20"/>
      <c r="V838" s="20"/>
    </row>
    <row r="839" spans="18:22">
      <c r="R839" s="114"/>
      <c r="S839" s="114"/>
      <c r="T839" s="20"/>
      <c r="U839" s="20"/>
      <c r="V839" s="20"/>
    </row>
    <row r="840" spans="18:22">
      <c r="R840" s="114"/>
      <c r="S840" s="114"/>
      <c r="T840" s="20"/>
      <c r="U840" s="20"/>
      <c r="V840" s="20"/>
    </row>
    <row r="841" spans="18:22">
      <c r="R841" s="114"/>
      <c r="S841" s="114"/>
      <c r="T841" s="20"/>
      <c r="U841" s="20"/>
      <c r="V841" s="20"/>
    </row>
    <row r="842" spans="18:22">
      <c r="R842" s="114"/>
      <c r="S842" s="114"/>
      <c r="T842" s="20"/>
      <c r="U842" s="20"/>
      <c r="V842" s="20"/>
    </row>
    <row r="843" spans="18:22">
      <c r="R843" s="114"/>
      <c r="S843" s="114"/>
      <c r="T843" s="20"/>
      <c r="U843" s="20"/>
      <c r="V843" s="20"/>
    </row>
    <row r="844" spans="18:22">
      <c r="R844" s="114"/>
      <c r="S844" s="114"/>
      <c r="T844" s="20"/>
      <c r="U844" s="20"/>
      <c r="V844" s="20"/>
    </row>
    <row r="845" spans="18:22">
      <c r="R845" s="114"/>
      <c r="S845" s="114"/>
      <c r="T845" s="20"/>
      <c r="U845" s="20"/>
      <c r="V845" s="20"/>
    </row>
    <row r="846" spans="18:22">
      <c r="R846" s="114"/>
      <c r="S846" s="114"/>
      <c r="T846" s="20"/>
      <c r="U846" s="20"/>
      <c r="V846" s="20"/>
    </row>
    <row r="847" spans="18:22">
      <c r="R847" s="114"/>
      <c r="S847" s="114"/>
      <c r="T847" s="20"/>
      <c r="U847" s="20"/>
      <c r="V847" s="20"/>
    </row>
    <row r="848" spans="18:22">
      <c r="R848" s="114"/>
      <c r="S848" s="114"/>
      <c r="T848" s="20"/>
      <c r="U848" s="20"/>
      <c r="V848" s="20"/>
    </row>
    <row r="849" spans="18:22">
      <c r="R849" s="114"/>
      <c r="S849" s="114"/>
      <c r="T849" s="20"/>
      <c r="U849" s="20"/>
      <c r="V849" s="20"/>
    </row>
    <row r="850" spans="18:22">
      <c r="R850" s="114"/>
      <c r="S850" s="114"/>
      <c r="T850" s="20"/>
      <c r="U850" s="20"/>
      <c r="V850" s="20"/>
    </row>
    <row r="851" spans="18:22">
      <c r="R851" s="114"/>
      <c r="S851" s="114"/>
      <c r="T851" s="20"/>
      <c r="U851" s="20"/>
      <c r="V851" s="20"/>
    </row>
    <row r="852" spans="18:22">
      <c r="R852" s="114"/>
      <c r="S852" s="114"/>
      <c r="T852" s="20"/>
      <c r="U852" s="20"/>
      <c r="V852" s="20"/>
    </row>
    <row r="853" spans="18:22">
      <c r="R853" s="114"/>
      <c r="S853" s="114"/>
      <c r="T853" s="20"/>
      <c r="U853" s="20"/>
      <c r="V853" s="20"/>
    </row>
    <row r="854" spans="18:22">
      <c r="R854" s="114"/>
      <c r="S854" s="114"/>
      <c r="T854" s="20"/>
      <c r="U854" s="20"/>
      <c r="V854" s="20"/>
    </row>
    <row r="855" spans="18:22">
      <c r="R855" s="114"/>
      <c r="S855" s="114"/>
      <c r="T855" s="20"/>
      <c r="U855" s="20"/>
      <c r="V855" s="20"/>
    </row>
    <row r="856" spans="18:22">
      <c r="R856" s="114"/>
      <c r="S856" s="114"/>
      <c r="T856" s="20"/>
      <c r="U856" s="20"/>
      <c r="V856" s="20"/>
    </row>
    <row r="857" spans="18:22">
      <c r="R857" s="114"/>
      <c r="S857" s="114"/>
      <c r="T857" s="20"/>
      <c r="U857" s="20"/>
      <c r="V857" s="20"/>
    </row>
    <row r="858" spans="18:22">
      <c r="R858" s="114"/>
      <c r="S858" s="114"/>
      <c r="T858" s="20"/>
      <c r="U858" s="20"/>
      <c r="V858" s="20"/>
    </row>
    <row r="859" spans="18:22">
      <c r="R859" s="114"/>
      <c r="S859" s="114"/>
      <c r="T859" s="20"/>
      <c r="U859" s="20"/>
      <c r="V859" s="20"/>
    </row>
    <row r="860" spans="18:22">
      <c r="R860" s="114"/>
      <c r="S860" s="114"/>
      <c r="T860" s="20"/>
      <c r="U860" s="20"/>
      <c r="V860" s="20"/>
    </row>
    <row r="861" spans="18:22">
      <c r="R861" s="114"/>
      <c r="S861" s="114"/>
      <c r="T861" s="20"/>
      <c r="U861" s="20"/>
      <c r="V861" s="20"/>
    </row>
    <row r="862" spans="18:22">
      <c r="R862" s="114"/>
      <c r="S862" s="114"/>
      <c r="T862" s="20"/>
      <c r="U862" s="20"/>
      <c r="V862" s="20"/>
    </row>
    <row r="863" spans="18:22">
      <c r="R863" s="114"/>
      <c r="S863" s="114"/>
      <c r="T863" s="20"/>
      <c r="U863" s="20"/>
      <c r="V863" s="20"/>
    </row>
    <row r="864" spans="18:22">
      <c r="R864" s="114"/>
      <c r="S864" s="114"/>
      <c r="T864" s="20"/>
      <c r="U864" s="20"/>
      <c r="V864" s="20"/>
    </row>
    <row r="865" spans="18:22">
      <c r="R865" s="114"/>
      <c r="S865" s="114"/>
      <c r="T865" s="20"/>
      <c r="U865" s="20"/>
      <c r="V865" s="20"/>
    </row>
    <row r="866" spans="18:22">
      <c r="R866" s="114"/>
      <c r="S866" s="114"/>
      <c r="T866" s="20"/>
      <c r="U866" s="20"/>
      <c r="V866" s="20"/>
    </row>
    <row r="867" spans="18:22">
      <c r="R867" s="114"/>
      <c r="S867" s="114"/>
      <c r="T867" s="20"/>
      <c r="U867" s="20"/>
      <c r="V867" s="20"/>
    </row>
    <row r="868" spans="18:22">
      <c r="R868" s="114"/>
      <c r="S868" s="114"/>
      <c r="T868" s="20"/>
      <c r="U868" s="20"/>
      <c r="V868" s="20"/>
    </row>
    <row r="869" spans="18:22">
      <c r="R869" s="114"/>
      <c r="S869" s="114"/>
      <c r="T869" s="20"/>
      <c r="U869" s="20"/>
      <c r="V869" s="20"/>
    </row>
    <row r="870" spans="18:22">
      <c r="R870" s="114"/>
      <c r="S870" s="114"/>
      <c r="T870" s="20"/>
      <c r="U870" s="20"/>
      <c r="V870" s="20"/>
    </row>
    <row r="871" spans="18:22">
      <c r="R871" s="114"/>
      <c r="S871" s="114"/>
      <c r="T871" s="20"/>
      <c r="U871" s="20"/>
      <c r="V871" s="20"/>
    </row>
    <row r="872" spans="18:22">
      <c r="R872" s="114"/>
      <c r="S872" s="114"/>
      <c r="T872" s="20"/>
      <c r="U872" s="20"/>
      <c r="V872" s="20"/>
    </row>
    <row r="873" spans="18:22">
      <c r="R873" s="114"/>
      <c r="S873" s="114"/>
      <c r="T873" s="20"/>
      <c r="U873" s="20"/>
      <c r="V873" s="20"/>
    </row>
    <row r="874" spans="18:22">
      <c r="R874" s="114"/>
      <c r="S874" s="114"/>
      <c r="T874" s="20"/>
      <c r="U874" s="20"/>
      <c r="V874" s="20"/>
    </row>
    <row r="875" spans="18:22">
      <c r="R875" s="114"/>
      <c r="S875" s="114"/>
      <c r="T875" s="20"/>
      <c r="U875" s="20"/>
      <c r="V875" s="20"/>
    </row>
    <row r="876" spans="18:22">
      <c r="R876" s="114"/>
      <c r="S876" s="114"/>
      <c r="T876" s="20"/>
      <c r="U876" s="20"/>
      <c r="V876" s="20"/>
    </row>
    <row r="877" spans="18:22">
      <c r="R877" s="114"/>
      <c r="S877" s="114"/>
      <c r="T877" s="20"/>
      <c r="U877" s="20"/>
      <c r="V877" s="20"/>
    </row>
    <row r="878" spans="18:22">
      <c r="R878" s="114"/>
      <c r="S878" s="114"/>
      <c r="T878" s="20"/>
      <c r="U878" s="20"/>
      <c r="V878" s="20"/>
    </row>
    <row r="879" spans="18:22">
      <c r="R879" s="114"/>
      <c r="S879" s="114"/>
      <c r="T879" s="20"/>
      <c r="U879" s="20"/>
      <c r="V879" s="20"/>
    </row>
    <row r="880" spans="18:22">
      <c r="R880" s="114"/>
      <c r="S880" s="114"/>
      <c r="T880" s="20"/>
      <c r="U880" s="20"/>
      <c r="V880" s="20"/>
    </row>
    <row r="881" spans="18:22">
      <c r="R881" s="114"/>
      <c r="S881" s="114"/>
      <c r="T881" s="20"/>
      <c r="U881" s="20"/>
      <c r="V881" s="20"/>
    </row>
    <row r="882" spans="18:22">
      <c r="R882" s="114"/>
      <c r="S882" s="114"/>
      <c r="T882" s="20"/>
      <c r="U882" s="20"/>
      <c r="V882" s="20"/>
    </row>
    <row r="883" spans="18:22">
      <c r="R883" s="114"/>
      <c r="S883" s="114"/>
      <c r="T883" s="20"/>
      <c r="U883" s="20"/>
      <c r="V883" s="20"/>
    </row>
    <row r="884" spans="18:22">
      <c r="R884" s="114"/>
      <c r="S884" s="114"/>
      <c r="T884" s="20"/>
      <c r="U884" s="20"/>
      <c r="V884" s="20"/>
    </row>
    <row r="885" spans="18:22">
      <c r="R885" s="114"/>
      <c r="S885" s="114"/>
      <c r="T885" s="20"/>
      <c r="U885" s="20"/>
      <c r="V885" s="20"/>
    </row>
    <row r="886" spans="18:22">
      <c r="R886" s="114"/>
      <c r="S886" s="114"/>
      <c r="T886" s="20"/>
      <c r="U886" s="20"/>
      <c r="V886" s="20"/>
    </row>
    <row r="887" spans="18:22">
      <c r="R887" s="114"/>
      <c r="S887" s="114"/>
      <c r="T887" s="20"/>
      <c r="U887" s="20"/>
      <c r="V887" s="20"/>
    </row>
    <row r="888" spans="18:22">
      <c r="R888" s="114"/>
      <c r="S888" s="114"/>
      <c r="T888" s="20"/>
      <c r="U888" s="20"/>
      <c r="V888" s="20"/>
    </row>
    <row r="889" spans="18:22">
      <c r="R889" s="114"/>
      <c r="S889" s="114"/>
      <c r="T889" s="20"/>
      <c r="U889" s="20"/>
      <c r="V889" s="20"/>
    </row>
    <row r="890" spans="18:22">
      <c r="R890" s="114"/>
      <c r="S890" s="114"/>
      <c r="T890" s="20"/>
      <c r="U890" s="20"/>
      <c r="V890" s="20"/>
    </row>
    <row r="891" spans="18:22">
      <c r="R891" s="114"/>
      <c r="S891" s="114"/>
      <c r="T891" s="20"/>
      <c r="U891" s="20"/>
      <c r="V891" s="20"/>
    </row>
    <row r="892" spans="18:22">
      <c r="R892" s="114"/>
      <c r="S892" s="114"/>
      <c r="T892" s="20"/>
      <c r="U892" s="20"/>
      <c r="V892" s="20"/>
    </row>
    <row r="893" spans="18:22">
      <c r="R893" s="114"/>
      <c r="S893" s="114"/>
      <c r="T893" s="20"/>
      <c r="U893" s="20"/>
      <c r="V893" s="20"/>
    </row>
    <row r="894" spans="18:22">
      <c r="R894" s="114"/>
      <c r="S894" s="114"/>
      <c r="T894" s="20"/>
      <c r="U894" s="20"/>
      <c r="V894" s="20"/>
    </row>
    <row r="895" spans="18:22">
      <c r="R895" s="114"/>
      <c r="S895" s="114"/>
      <c r="T895" s="20"/>
      <c r="U895" s="20"/>
      <c r="V895" s="20"/>
    </row>
    <row r="896" spans="18:22">
      <c r="R896" s="114"/>
      <c r="S896" s="114"/>
      <c r="T896" s="20"/>
      <c r="U896" s="20"/>
      <c r="V896" s="20"/>
    </row>
    <row r="897" spans="18:22">
      <c r="R897" s="114"/>
      <c r="S897" s="114"/>
      <c r="T897" s="20"/>
      <c r="U897" s="20"/>
      <c r="V897" s="20"/>
    </row>
    <row r="898" spans="18:22">
      <c r="R898" s="114"/>
      <c r="S898" s="114"/>
      <c r="T898" s="20"/>
      <c r="U898" s="20"/>
      <c r="V898" s="20"/>
    </row>
    <row r="899" spans="18:22">
      <c r="R899" s="114"/>
      <c r="S899" s="114"/>
      <c r="T899" s="20"/>
      <c r="U899" s="20"/>
      <c r="V899" s="20"/>
    </row>
    <row r="900" spans="18:22">
      <c r="R900" s="114"/>
      <c r="S900" s="114"/>
      <c r="T900" s="20"/>
      <c r="U900" s="20"/>
      <c r="V900" s="20"/>
    </row>
    <row r="901" spans="18:22">
      <c r="R901" s="114"/>
      <c r="S901" s="114"/>
      <c r="T901" s="20"/>
      <c r="U901" s="20"/>
      <c r="V901" s="20"/>
    </row>
    <row r="902" spans="18:22">
      <c r="R902" s="114"/>
      <c r="S902" s="114"/>
      <c r="T902" s="20"/>
      <c r="U902" s="20"/>
      <c r="V902" s="20"/>
    </row>
    <row r="903" spans="18:22">
      <c r="R903" s="114"/>
      <c r="S903" s="114"/>
      <c r="T903" s="20"/>
      <c r="U903" s="20"/>
      <c r="V903" s="20"/>
    </row>
    <row r="904" spans="18:22">
      <c r="R904" s="114"/>
      <c r="S904" s="114"/>
      <c r="T904" s="20"/>
      <c r="U904" s="20"/>
      <c r="V904" s="20"/>
    </row>
    <row r="905" spans="18:22">
      <c r="R905" s="114"/>
      <c r="S905" s="114"/>
      <c r="T905" s="20"/>
      <c r="U905" s="20"/>
      <c r="V905" s="20"/>
    </row>
    <row r="906" spans="18:22">
      <c r="R906" s="114"/>
      <c r="S906" s="114"/>
      <c r="T906" s="20"/>
      <c r="U906" s="20"/>
      <c r="V906" s="20"/>
    </row>
    <row r="907" spans="18:22">
      <c r="R907" s="114"/>
      <c r="S907" s="114"/>
      <c r="T907" s="20"/>
      <c r="U907" s="20"/>
      <c r="V907" s="20"/>
    </row>
    <row r="908" spans="18:22">
      <c r="R908" s="114"/>
      <c r="S908" s="114"/>
      <c r="T908" s="20"/>
      <c r="U908" s="20"/>
      <c r="V908" s="20"/>
    </row>
    <row r="909" spans="18:22">
      <c r="R909" s="114"/>
      <c r="S909" s="114"/>
      <c r="T909" s="20"/>
      <c r="U909" s="20"/>
      <c r="V909" s="20"/>
    </row>
    <row r="910" spans="18:22">
      <c r="R910" s="114"/>
      <c r="S910" s="114"/>
      <c r="T910" s="20"/>
      <c r="U910" s="20"/>
      <c r="V910" s="20"/>
    </row>
    <row r="911" spans="18:22">
      <c r="R911" s="114"/>
      <c r="S911" s="114"/>
      <c r="T911" s="20"/>
      <c r="U911" s="20"/>
      <c r="V911" s="20"/>
    </row>
    <row r="912" spans="18:22">
      <c r="R912" s="114"/>
      <c r="S912" s="114"/>
      <c r="T912" s="20"/>
      <c r="U912" s="20"/>
      <c r="V912" s="20"/>
    </row>
    <row r="913" spans="18:22">
      <c r="R913" s="114"/>
      <c r="S913" s="114"/>
      <c r="T913" s="20"/>
      <c r="U913" s="20"/>
      <c r="V913" s="20"/>
    </row>
    <row r="914" spans="18:22">
      <c r="R914" s="114"/>
      <c r="S914" s="114"/>
      <c r="T914" s="20"/>
      <c r="U914" s="20"/>
      <c r="V914" s="20"/>
    </row>
    <row r="915" spans="18:22">
      <c r="R915" s="114"/>
      <c r="S915" s="114"/>
      <c r="T915" s="20"/>
      <c r="U915" s="20"/>
      <c r="V915" s="20"/>
    </row>
    <row r="916" spans="18:22">
      <c r="R916" s="114"/>
      <c r="S916" s="114"/>
      <c r="T916" s="20"/>
      <c r="U916" s="20"/>
      <c r="V916" s="20"/>
    </row>
    <row r="917" spans="18:22">
      <c r="R917" s="114"/>
      <c r="S917" s="114"/>
      <c r="T917" s="20"/>
      <c r="U917" s="20"/>
      <c r="V917" s="20"/>
    </row>
    <row r="918" spans="18:22">
      <c r="R918" s="114"/>
      <c r="S918" s="114"/>
      <c r="T918" s="20"/>
      <c r="U918" s="20"/>
      <c r="V918" s="20"/>
    </row>
    <row r="919" spans="18:22">
      <c r="R919" s="114"/>
      <c r="S919" s="114"/>
      <c r="T919" s="20"/>
      <c r="U919" s="20"/>
      <c r="V919" s="20"/>
    </row>
    <row r="920" spans="18:22">
      <c r="R920" s="114"/>
      <c r="S920" s="114"/>
      <c r="T920" s="20"/>
      <c r="U920" s="20"/>
      <c r="V920" s="20"/>
    </row>
    <row r="921" spans="18:22">
      <c r="R921" s="114"/>
      <c r="S921" s="114"/>
      <c r="T921" s="20"/>
      <c r="U921" s="20"/>
      <c r="V921" s="20"/>
    </row>
    <row r="922" spans="18:22">
      <c r="R922" s="114"/>
      <c r="S922" s="114"/>
      <c r="T922" s="20"/>
      <c r="U922" s="20"/>
      <c r="V922" s="20"/>
    </row>
    <row r="923" spans="18:22">
      <c r="R923" s="114"/>
      <c r="S923" s="114"/>
      <c r="T923" s="20"/>
      <c r="U923" s="20"/>
      <c r="V923" s="20"/>
    </row>
    <row r="924" spans="18:22">
      <c r="R924" s="114"/>
      <c r="S924" s="114"/>
      <c r="T924" s="20"/>
      <c r="U924" s="20"/>
      <c r="V924" s="20"/>
    </row>
    <row r="925" spans="18:22">
      <c r="R925" s="114"/>
      <c r="S925" s="114"/>
      <c r="T925" s="20"/>
      <c r="U925" s="20"/>
      <c r="V925" s="20"/>
    </row>
    <row r="926" spans="18:22">
      <c r="R926" s="114"/>
      <c r="S926" s="114"/>
      <c r="T926" s="20"/>
      <c r="U926" s="20"/>
      <c r="V926" s="20"/>
    </row>
    <row r="927" spans="18:22">
      <c r="R927" s="114"/>
      <c r="S927" s="114"/>
      <c r="T927" s="20"/>
      <c r="U927" s="20"/>
      <c r="V927" s="20"/>
    </row>
    <row r="928" spans="18:22">
      <c r="R928" s="114"/>
      <c r="S928" s="114"/>
      <c r="T928" s="20"/>
      <c r="U928" s="20"/>
      <c r="V928" s="20"/>
    </row>
    <row r="929" spans="18:22">
      <c r="R929" s="114"/>
      <c r="S929" s="114"/>
      <c r="T929" s="20"/>
      <c r="U929" s="20"/>
      <c r="V929" s="20"/>
    </row>
    <row r="930" spans="18:22">
      <c r="R930" s="114"/>
      <c r="S930" s="114"/>
      <c r="T930" s="20"/>
      <c r="U930" s="20"/>
      <c r="V930" s="20"/>
    </row>
    <row r="931" spans="18:22">
      <c r="R931" s="114"/>
      <c r="S931" s="114"/>
      <c r="T931" s="20"/>
      <c r="U931" s="20"/>
      <c r="V931" s="20"/>
    </row>
    <row r="932" spans="18:22">
      <c r="R932" s="114"/>
      <c r="S932" s="114"/>
      <c r="T932" s="20"/>
      <c r="U932" s="20"/>
      <c r="V932" s="20"/>
    </row>
    <row r="933" spans="18:22">
      <c r="R933" s="114"/>
      <c r="S933" s="114"/>
      <c r="T933" s="20"/>
      <c r="U933" s="20"/>
      <c r="V933" s="20"/>
    </row>
    <row r="934" spans="18:22">
      <c r="R934" s="114"/>
      <c r="S934" s="114"/>
      <c r="T934" s="20"/>
      <c r="U934" s="20"/>
      <c r="V934" s="20"/>
    </row>
    <row r="935" spans="18:22">
      <c r="R935" s="114"/>
      <c r="S935" s="114"/>
      <c r="T935" s="20"/>
      <c r="U935" s="20"/>
      <c r="V935" s="20"/>
    </row>
    <row r="936" spans="18:22">
      <c r="R936" s="114"/>
      <c r="S936" s="114"/>
      <c r="T936" s="20"/>
      <c r="U936" s="20"/>
      <c r="V936" s="20"/>
    </row>
    <row r="937" spans="18:22">
      <c r="R937" s="114"/>
      <c r="S937" s="114"/>
      <c r="T937" s="20"/>
      <c r="U937" s="20"/>
      <c r="V937" s="20"/>
    </row>
    <row r="938" spans="18:22">
      <c r="R938" s="114"/>
      <c r="S938" s="114"/>
      <c r="T938" s="20"/>
      <c r="U938" s="20"/>
      <c r="V938" s="20"/>
    </row>
    <row r="939" spans="18:22">
      <c r="R939" s="114"/>
      <c r="S939" s="114"/>
      <c r="T939" s="20"/>
      <c r="U939" s="20"/>
      <c r="V939" s="20"/>
    </row>
    <row r="940" spans="18:22">
      <c r="R940" s="114"/>
      <c r="S940" s="114"/>
      <c r="T940" s="20"/>
      <c r="U940" s="20"/>
      <c r="V940" s="20"/>
    </row>
    <row r="941" spans="18:22">
      <c r="R941" s="114"/>
      <c r="S941" s="114"/>
      <c r="T941" s="20"/>
      <c r="U941" s="20"/>
      <c r="V941" s="20"/>
    </row>
    <row r="942" spans="18:22">
      <c r="R942" s="114"/>
      <c r="S942" s="114"/>
      <c r="T942" s="20"/>
      <c r="U942" s="20"/>
      <c r="V942" s="20"/>
    </row>
    <row r="943" spans="18:22">
      <c r="R943" s="114"/>
      <c r="S943" s="114"/>
      <c r="T943" s="20"/>
      <c r="U943" s="20"/>
      <c r="V943" s="20"/>
    </row>
    <row r="944" spans="18:22">
      <c r="R944" s="114"/>
      <c r="S944" s="114"/>
      <c r="T944" s="20"/>
      <c r="U944" s="20"/>
      <c r="V944" s="20"/>
    </row>
    <row r="945" spans="18:22">
      <c r="R945" s="114"/>
      <c r="S945" s="114"/>
      <c r="T945" s="20"/>
      <c r="U945" s="20"/>
      <c r="V945" s="20"/>
    </row>
    <row r="946" spans="18:22">
      <c r="R946" s="114"/>
      <c r="S946" s="114"/>
      <c r="T946" s="20"/>
      <c r="U946" s="20"/>
      <c r="V946" s="20"/>
    </row>
    <row r="947" spans="18:22">
      <c r="R947" s="114"/>
      <c r="S947" s="114"/>
      <c r="T947" s="20"/>
      <c r="U947" s="20"/>
      <c r="V947" s="20"/>
    </row>
    <row r="948" spans="18:22">
      <c r="R948" s="114"/>
      <c r="S948" s="114"/>
      <c r="T948" s="20"/>
      <c r="U948" s="20"/>
      <c r="V948" s="20"/>
    </row>
    <row r="949" spans="18:22">
      <c r="R949" s="114"/>
      <c r="S949" s="114"/>
      <c r="T949" s="20"/>
      <c r="U949" s="20"/>
      <c r="V949" s="20"/>
    </row>
    <row r="950" spans="18:22">
      <c r="R950" s="114"/>
      <c r="S950" s="114"/>
      <c r="T950" s="20"/>
      <c r="U950" s="20"/>
      <c r="V950" s="20"/>
    </row>
    <row r="951" spans="18:22">
      <c r="R951" s="114"/>
      <c r="S951" s="114"/>
      <c r="T951" s="20"/>
      <c r="U951" s="20"/>
      <c r="V951" s="20"/>
    </row>
  </sheetData>
  <conditionalFormatting sqref="R3:R226 V3:X226 Z3:AA226">
    <cfRule type="cellIs" dxfId="1" priority="1" operator="equal">
      <formula>0</formula>
    </cfRule>
  </conditionalFormatting>
  <dataValidations count="1">
    <dataValidation type="list" allowBlank="1" showErrorMessage="1" sqref="L10" xr:uid="{00000000-0002-0000-0D00-000000000000}">
      <formula1>"Yes,No"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0.59999389629810485"/>
    <outlinePr summaryBelow="0" summaryRight="0"/>
  </sheetPr>
  <dimension ref="A1:AF788"/>
  <sheetViews>
    <sheetView workbookViewId="0">
      <pane ySplit="2" topLeftCell="A3" activePane="bottomLeft" state="frozen"/>
      <selection pane="bottomLeft" activeCell="A2" sqref="A2"/>
    </sheetView>
  </sheetViews>
  <sheetFormatPr defaultColWidth="12.5546875" defaultRowHeight="15.75" customHeight="1"/>
  <cols>
    <col min="1" max="1" width="24.44140625" customWidth="1"/>
    <col min="3" max="3" width="20.44140625" customWidth="1"/>
    <col min="22" max="22" width="37.6640625" customWidth="1"/>
    <col min="23" max="23" width="20.88671875" customWidth="1"/>
    <col min="26" max="26" width="20.88671875" customWidth="1"/>
  </cols>
  <sheetData>
    <row r="1" spans="1:32">
      <c r="K1" s="20" t="s">
        <v>418</v>
      </c>
    </row>
    <row r="2" spans="1:32">
      <c r="B2" s="20" t="s">
        <v>352</v>
      </c>
      <c r="C2" s="20" t="s">
        <v>353</v>
      </c>
      <c r="D2" s="20" t="s">
        <v>419</v>
      </c>
      <c r="E2" s="20" t="s">
        <v>355</v>
      </c>
      <c r="F2" s="20" t="s">
        <v>356</v>
      </c>
      <c r="G2" s="20" t="s">
        <v>358</v>
      </c>
      <c r="H2" s="20" t="s">
        <v>420</v>
      </c>
      <c r="K2" s="20" t="s">
        <v>359</v>
      </c>
      <c r="L2" s="20" t="s">
        <v>360</v>
      </c>
      <c r="M2" s="20" t="s">
        <v>421</v>
      </c>
      <c r="N2" s="20" t="s">
        <v>422</v>
      </c>
      <c r="O2" s="20" t="s">
        <v>423</v>
      </c>
      <c r="P2" s="20" t="s">
        <v>283</v>
      </c>
      <c r="Q2" s="20" t="s">
        <v>363</v>
      </c>
      <c r="R2" s="20" t="s">
        <v>424</v>
      </c>
      <c r="S2" s="20" t="s">
        <v>364</v>
      </c>
      <c r="T2" s="20" t="s">
        <v>32</v>
      </c>
      <c r="X2" s="20"/>
      <c r="Y2" s="20" t="s">
        <v>425</v>
      </c>
      <c r="Z2" s="20" t="s">
        <v>426</v>
      </c>
      <c r="AD2" s="20" t="s">
        <v>5</v>
      </c>
      <c r="AE2" s="20" t="s">
        <v>9</v>
      </c>
      <c r="AF2" s="20" t="s">
        <v>10</v>
      </c>
    </row>
    <row r="3" spans="1:32">
      <c r="A3" s="20" t="str">
        <f t="shared" ref="A3:A38" si="0">B3&amp;I3</f>
        <v>Greeneretailstandalone</v>
      </c>
      <c r="B3" s="20" t="s">
        <v>5</v>
      </c>
      <c r="C3" s="20" t="s">
        <v>427</v>
      </c>
      <c r="D3" s="21">
        <f ca="1">OFFSET('Replica Building Area'!$A$1,MATCH(B3,'Replica Building Area'!$A$1:$A$4,0)-1,MATCH(_xlfn.CONCAT("building_area_",C3),'Replica Building Area'!$A$1:$T$1,0)-1)</f>
        <v>16112615</v>
      </c>
      <c r="I3" s="20" t="str">
        <f t="shared" ref="I3:I38" si="1">VLOOKUP(C3,$Z$3:$AA$14,2,FALSE)</f>
        <v>retailstandalone</v>
      </c>
      <c r="J3" s="25"/>
      <c r="K3" s="20" t="s">
        <v>367</v>
      </c>
      <c r="L3" s="20" t="s">
        <v>428</v>
      </c>
      <c r="M3" s="20" t="s">
        <v>429</v>
      </c>
      <c r="N3" s="20">
        <v>0</v>
      </c>
      <c r="O3" s="20">
        <v>0</v>
      </c>
      <c r="P3" s="20">
        <v>13071594.1</v>
      </c>
      <c r="Q3" s="20">
        <v>35377556.509999998</v>
      </c>
      <c r="R3" s="20">
        <v>0</v>
      </c>
      <c r="S3" s="20">
        <v>0</v>
      </c>
      <c r="T3" s="20">
        <f t="shared" ref="T3:T254" si="2">SUM(N3:S3)</f>
        <v>48449150.609999999</v>
      </c>
      <c r="U3" s="20" t="str">
        <f t="shared" ref="U3:U254" si="3">IFERROR(VLOOKUP(L3,$Y$3:$Z$24,2,FALSE),"")</f>
        <v>other</v>
      </c>
      <c r="V3" s="20" t="str">
        <f t="shared" ref="V3:V254" si="4">MID(K3,5,FIND(" County",K3)-5)&amp;L3&amp;M3</f>
        <v>GreenefullservicerestaurantAux_Equip</v>
      </c>
      <c r="W3" s="20" t="str">
        <f t="shared" ref="W3:W254" si="5">MID(K3,5,FIND(" County",K3)-5)&amp;L3</f>
        <v>Greenefullservicerestaurant</v>
      </c>
      <c r="Y3" s="20" t="s">
        <v>430</v>
      </c>
      <c r="Z3" s="20" t="s">
        <v>427</v>
      </c>
      <c r="AA3" s="20" t="s">
        <v>430</v>
      </c>
      <c r="AB3" s="20" t="str">
        <f ca="1">IFERROR(__xludf.DUMMYFUNCTION("UNIQUE(L3:L674)"),"fullservicerestaurant")</f>
        <v>fullservicerestaurant</v>
      </c>
      <c r="AC3" s="20" t="s">
        <v>431</v>
      </c>
      <c r="AD3" s="20" t="str">
        <f t="shared" ref="AD3:AF3" si="6">IF(SUMIFS($P$3:$P$254,$K$3:$K$254,CONCATENATE("OH, ",AD$2," County"),$L$3:$L$254,$AA3)&gt;0,"OK","")</f>
        <v>OK</v>
      </c>
      <c r="AE3" s="20" t="str">
        <f t="shared" si="6"/>
        <v>OK</v>
      </c>
      <c r="AF3" s="20" t="str">
        <f t="shared" si="6"/>
        <v>OK</v>
      </c>
    </row>
    <row r="4" spans="1:32">
      <c r="A4" s="20" t="str">
        <f t="shared" si="0"/>
        <v>Greenemediumoffice</v>
      </c>
      <c r="B4" s="20" t="s">
        <v>5</v>
      </c>
      <c r="C4" s="20" t="s">
        <v>432</v>
      </c>
      <c r="D4" s="21">
        <f ca="1">OFFSET('Replica Building Area'!$A$1,MATCH(B4,'Replica Building Area'!$A$1:$A$4,0)-1,MATCH(_xlfn.CONCAT("building_area_",C4),'Replica Building Area'!$A$1:$T$1,0)-1)</f>
        <v>6451961</v>
      </c>
      <c r="I4" s="20" t="str">
        <f t="shared" si="1"/>
        <v>mediumoffice</v>
      </c>
      <c r="J4" s="25"/>
      <c r="K4" s="20" t="s">
        <v>367</v>
      </c>
      <c r="L4" s="20" t="s">
        <v>428</v>
      </c>
      <c r="M4" s="20" t="s">
        <v>433</v>
      </c>
      <c r="N4" s="20">
        <v>0</v>
      </c>
      <c r="O4" s="20">
        <v>0</v>
      </c>
      <c r="P4" s="20">
        <v>11206931.689999999</v>
      </c>
      <c r="Q4" s="20">
        <v>0</v>
      </c>
      <c r="R4" s="20">
        <v>0</v>
      </c>
      <c r="S4" s="20">
        <v>0</v>
      </c>
      <c r="T4" s="20">
        <f t="shared" si="2"/>
        <v>11206931.689999999</v>
      </c>
      <c r="U4" s="20" t="str">
        <f t="shared" si="3"/>
        <v>other</v>
      </c>
      <c r="V4" s="20" t="str">
        <f t="shared" si="4"/>
        <v>GreenefullservicerestaurantAux_Motors</v>
      </c>
      <c r="W4" s="20" t="str">
        <f t="shared" si="5"/>
        <v>Greenefullservicerestaurant</v>
      </c>
      <c r="Y4" s="20" t="s">
        <v>434</v>
      </c>
      <c r="Z4" s="20" t="s">
        <v>432</v>
      </c>
      <c r="AA4" s="20" t="s">
        <v>434</v>
      </c>
      <c r="AB4" s="20" t="str">
        <f ca="1">IFERROR(__xludf.DUMMYFUNCTION("""COMPUTED_VALUE"""),"hospital")</f>
        <v>hospital</v>
      </c>
      <c r="AC4" s="20" t="s">
        <v>435</v>
      </c>
      <c r="AD4" s="20" t="str">
        <f t="shared" ref="AD4:AF4" si="7">IF(SUMIFS($P$3:$P$254,$K$3:$K$254,CONCATENATE("OH, ",AD$2," County"),$L$3:$L$254,$AA4)&gt;0,"OK","")</f>
        <v>OK</v>
      </c>
      <c r="AE4" s="20" t="str">
        <f t="shared" si="7"/>
        <v>OK</v>
      </c>
      <c r="AF4" s="20" t="str">
        <f t="shared" si="7"/>
        <v>OK</v>
      </c>
    </row>
    <row r="5" spans="1:32">
      <c r="A5" s="20" t="str">
        <f t="shared" si="0"/>
        <v>Greenesmallhotel</v>
      </c>
      <c r="B5" s="20" t="s">
        <v>5</v>
      </c>
      <c r="C5" s="20" t="s">
        <v>436</v>
      </c>
      <c r="D5" s="21">
        <f ca="1">OFFSET('Replica Building Area'!$A$1,MATCH(B5,'Replica Building Area'!$A$1:$A$4,0)-1,MATCH(_xlfn.CONCAT("building_area_",C5),'Replica Building Area'!$A$1:$T$1,0)-1)</f>
        <v>1622694</v>
      </c>
      <c r="I5" s="20" t="str">
        <f t="shared" si="1"/>
        <v>smallhotel</v>
      </c>
      <c r="J5" s="25"/>
      <c r="K5" s="20" t="s">
        <v>367</v>
      </c>
      <c r="L5" s="20" t="s">
        <v>428</v>
      </c>
      <c r="M5" s="20" t="s">
        <v>437</v>
      </c>
      <c r="N5" s="20">
        <v>0</v>
      </c>
      <c r="O5" s="20">
        <v>0</v>
      </c>
      <c r="P5" s="20">
        <v>5030653.0999999996</v>
      </c>
      <c r="Q5" s="20">
        <v>0</v>
      </c>
      <c r="R5" s="20">
        <v>0</v>
      </c>
      <c r="S5" s="20">
        <v>0</v>
      </c>
      <c r="T5" s="20">
        <f t="shared" si="2"/>
        <v>5030653.0999999996</v>
      </c>
      <c r="U5" s="20" t="str">
        <f t="shared" si="3"/>
        <v>other</v>
      </c>
      <c r="V5" s="20" t="str">
        <f t="shared" si="4"/>
        <v>GreenefullservicerestaurantLighting</v>
      </c>
      <c r="W5" s="20" t="str">
        <f t="shared" si="5"/>
        <v>Greenefullservicerestaurant</v>
      </c>
      <c r="Y5" s="20" t="s">
        <v>438</v>
      </c>
      <c r="Z5" s="20" t="s">
        <v>436</v>
      </c>
      <c r="AA5" s="20" t="s">
        <v>438</v>
      </c>
      <c r="AB5" s="20" t="str">
        <f ca="1">IFERROR(__xludf.DUMMYFUNCTION("""COMPUTED_VALUE"""),"largehotel")</f>
        <v>largehotel</v>
      </c>
      <c r="AC5" s="20" t="s">
        <v>439</v>
      </c>
      <c r="AD5" s="20" t="str">
        <f t="shared" ref="AD5:AF5" si="8">IF(SUMIFS($P$3:$P$254,$K$3:$K$254,CONCATENATE("OH, ",AD$2," County"),$L$3:$L$254,$AA5)&gt;0,"OK","")</f>
        <v>OK</v>
      </c>
      <c r="AE5" s="20" t="str">
        <f t="shared" si="8"/>
        <v>OK</v>
      </c>
      <c r="AF5" s="20" t="str">
        <f t="shared" si="8"/>
        <v>OK</v>
      </c>
    </row>
    <row r="6" spans="1:32">
      <c r="A6" s="20" t="str">
        <f t="shared" si="0"/>
        <v>Greene0</v>
      </c>
      <c r="B6" s="20" t="s">
        <v>5</v>
      </c>
      <c r="C6" s="20" t="s">
        <v>8</v>
      </c>
      <c r="D6" s="118">
        <v>0</v>
      </c>
      <c r="I6" s="20">
        <f t="shared" si="1"/>
        <v>0</v>
      </c>
      <c r="J6" s="25"/>
      <c r="K6" s="20" t="s">
        <v>367</v>
      </c>
      <c r="L6" s="20" t="s">
        <v>428</v>
      </c>
      <c r="M6" s="20" t="s">
        <v>440</v>
      </c>
      <c r="N6" s="20">
        <v>0</v>
      </c>
      <c r="O6" s="20">
        <v>0</v>
      </c>
      <c r="P6" s="20">
        <v>4829389.93</v>
      </c>
      <c r="Q6" s="20">
        <v>0</v>
      </c>
      <c r="R6" s="20">
        <v>0</v>
      </c>
      <c r="S6" s="20">
        <v>0</v>
      </c>
      <c r="T6" s="20">
        <f t="shared" si="2"/>
        <v>4829389.93</v>
      </c>
      <c r="U6" s="20" t="str">
        <f t="shared" si="3"/>
        <v>other</v>
      </c>
      <c r="V6" s="20" t="str">
        <f t="shared" si="4"/>
        <v>GreenefullservicerestaurantSpace_Cooling</v>
      </c>
      <c r="W6" s="20" t="str">
        <f t="shared" si="5"/>
        <v>Greenefullservicerestaurant</v>
      </c>
      <c r="Z6" s="20" t="s">
        <v>8</v>
      </c>
      <c r="AB6" s="20" t="str">
        <f ca="1">IFERROR(__xludf.DUMMYFUNCTION("""COMPUTED_VALUE"""),"largeoffice")</f>
        <v>largeoffice</v>
      </c>
      <c r="AC6" s="20" t="s">
        <v>441</v>
      </c>
      <c r="AD6" s="20" t="str">
        <f t="shared" ref="AD6:AF6" si="9">IF(SUMIFS($P$3:$P$254,$K$3:$K$254,CONCATENATE("OH, ",AD$2," County"),$L$3:$L$254,$AA6)&gt;0,"OK","")</f>
        <v/>
      </c>
      <c r="AE6" s="20" t="str">
        <f t="shared" si="9"/>
        <v/>
      </c>
      <c r="AF6" s="20" t="str">
        <f t="shared" si="9"/>
        <v/>
      </c>
    </row>
    <row r="7" spans="1:32">
      <c r="A7" s="20" t="str">
        <f t="shared" si="0"/>
        <v>Greenemediumoffice</v>
      </c>
      <c r="B7" s="20" t="s">
        <v>5</v>
      </c>
      <c r="C7" s="20" t="s">
        <v>442</v>
      </c>
      <c r="D7" s="21">
        <f ca="1">OFFSET('Replica Building Area'!$A$1,MATCH(B7,'Replica Building Area'!$A$1:$A$4,0)-1,MATCH(_xlfn.CONCAT("building_area_",C7),'Replica Building Area'!$A$1:$T$1,0)-1)</f>
        <v>1975850</v>
      </c>
      <c r="I7" s="20" t="str">
        <f t="shared" si="1"/>
        <v>mediumoffice</v>
      </c>
      <c r="J7" s="25"/>
      <c r="K7" s="20" t="s">
        <v>367</v>
      </c>
      <c r="L7" s="20" t="s">
        <v>428</v>
      </c>
      <c r="M7" s="20" t="s">
        <v>443</v>
      </c>
      <c r="N7" s="20">
        <v>0</v>
      </c>
      <c r="O7" s="20">
        <v>0</v>
      </c>
      <c r="P7" s="20">
        <v>3723925.76</v>
      </c>
      <c r="Q7" s="20">
        <v>18473709.199999999</v>
      </c>
      <c r="R7" s="20">
        <v>0</v>
      </c>
      <c r="S7" s="20">
        <v>0</v>
      </c>
      <c r="T7" s="20">
        <f t="shared" si="2"/>
        <v>22197634.960000001</v>
      </c>
      <c r="U7" s="20" t="str">
        <f t="shared" si="3"/>
        <v>other</v>
      </c>
      <c r="V7" s="20" t="str">
        <f t="shared" si="4"/>
        <v>GreenefullservicerestaurantSpace_Heating</v>
      </c>
      <c r="W7" s="20" t="str">
        <f t="shared" si="5"/>
        <v>Greenefullservicerestaurant</v>
      </c>
      <c r="Y7" s="20" t="s">
        <v>434</v>
      </c>
      <c r="Z7" s="20" t="s">
        <v>442</v>
      </c>
      <c r="AA7" s="20" t="s">
        <v>434</v>
      </c>
      <c r="AB7" s="20" t="str">
        <f ca="1">IFERROR(__xludf.DUMMYFUNCTION("""COMPUTED_VALUE"""),"mediumoffice")</f>
        <v>mediumoffice</v>
      </c>
      <c r="AC7" s="20" t="s">
        <v>441</v>
      </c>
      <c r="AD7" s="20" t="str">
        <f t="shared" ref="AD7:AF7" si="10">IF(SUMIFS($P$3:$P$254,$K$3:$K$254,CONCATENATE("OH, ",AD$2," County"),$L$3:$L$254,$AA7)&gt;0,"OK","")</f>
        <v>OK</v>
      </c>
      <c r="AE7" s="20" t="str">
        <f t="shared" si="10"/>
        <v>OK</v>
      </c>
      <c r="AF7" s="20" t="str">
        <f t="shared" si="10"/>
        <v>OK</v>
      </c>
    </row>
    <row r="8" spans="1:32">
      <c r="A8" s="20" t="str">
        <f t="shared" si="0"/>
        <v>Greeneprimaryschool</v>
      </c>
      <c r="B8" s="20" t="s">
        <v>5</v>
      </c>
      <c r="C8" s="20" t="s">
        <v>444</v>
      </c>
      <c r="D8" s="21">
        <f ca="1">OFFSET('Replica Building Area'!$A$1,MATCH(B8,'Replica Building Area'!$A$1:$A$4,0)-1,MATCH(_xlfn.CONCAT("building_area_",C8),'Replica Building Area'!$A$1:$T$1,0)-1)</f>
        <v>7182875</v>
      </c>
      <c r="I8" s="20" t="str">
        <f t="shared" si="1"/>
        <v>primaryschool</v>
      </c>
      <c r="J8" s="25"/>
      <c r="K8" s="20" t="s">
        <v>367</v>
      </c>
      <c r="L8" s="20" t="s">
        <v>428</v>
      </c>
      <c r="M8" s="20" t="s">
        <v>445</v>
      </c>
      <c r="N8" s="20">
        <v>0</v>
      </c>
      <c r="O8" s="20">
        <v>0</v>
      </c>
      <c r="P8" s="20">
        <v>5519624.79</v>
      </c>
      <c r="Q8" s="20">
        <v>16991773.809999999</v>
      </c>
      <c r="R8" s="20">
        <v>0</v>
      </c>
      <c r="S8" s="20">
        <v>0</v>
      </c>
      <c r="T8" s="20">
        <f t="shared" si="2"/>
        <v>22511398.599999998</v>
      </c>
      <c r="U8" s="20" t="str">
        <f t="shared" si="3"/>
        <v>other</v>
      </c>
      <c r="V8" s="20" t="str">
        <f t="shared" si="4"/>
        <v>GreenefullservicerestaurantWater_Heating</v>
      </c>
      <c r="W8" s="20" t="str">
        <f t="shared" si="5"/>
        <v>Greenefullservicerestaurant</v>
      </c>
      <c r="Y8" s="20" t="s">
        <v>446</v>
      </c>
      <c r="Z8" s="20" t="s">
        <v>444</v>
      </c>
      <c r="AA8" s="20" t="s">
        <v>446</v>
      </c>
      <c r="AB8" s="20" t="str">
        <f ca="1">IFERROR(__xludf.DUMMYFUNCTION("""COMPUTED_VALUE"""),"outpatient")</f>
        <v>outpatient</v>
      </c>
      <c r="AC8" s="20" t="s">
        <v>447</v>
      </c>
      <c r="AD8" s="20" t="str">
        <f t="shared" ref="AD8:AF8" si="11">IF(SUMIFS($P$3:$P$254,$K$3:$K$254,CONCATENATE("OH, ",AD$2," County"),$L$3:$L$254,$AA8)&gt;0,"OK","")</f>
        <v>OK</v>
      </c>
      <c r="AE8" s="20" t="str">
        <f t="shared" si="11"/>
        <v>OK</v>
      </c>
      <c r="AF8" s="20" t="str">
        <f t="shared" si="11"/>
        <v>OK</v>
      </c>
    </row>
    <row r="9" spans="1:32">
      <c r="A9" s="20" t="str">
        <f t="shared" si="0"/>
        <v>Greenemediumoffice</v>
      </c>
      <c r="B9" s="20" t="s">
        <v>5</v>
      </c>
      <c r="C9" s="20" t="s">
        <v>448</v>
      </c>
      <c r="D9" s="21">
        <f ca="1">OFFSET('Replica Building Area'!$A$1,MATCH(B9,'Replica Building Area'!$A$1:$A$4,0)-1,MATCH(_xlfn.CONCAT("building_area_",C9),'Replica Building Area'!$A$1:$T$1,0)-1)</f>
        <v>5833566</v>
      </c>
      <c r="I9" s="20" t="str">
        <f t="shared" si="1"/>
        <v>mediumoffice</v>
      </c>
      <c r="J9" s="25"/>
      <c r="K9" s="20" t="s">
        <v>367</v>
      </c>
      <c r="L9" s="20" t="s">
        <v>449</v>
      </c>
      <c r="M9" s="20" t="s">
        <v>429</v>
      </c>
      <c r="N9" s="20">
        <v>0</v>
      </c>
      <c r="O9" s="20">
        <v>0</v>
      </c>
      <c r="P9" s="20">
        <v>7714358.4000000004</v>
      </c>
      <c r="Q9" s="20">
        <v>1245883.7</v>
      </c>
      <c r="R9" s="20">
        <v>0</v>
      </c>
      <c r="S9" s="20">
        <v>0</v>
      </c>
      <c r="T9" s="20">
        <f t="shared" si="2"/>
        <v>8960242.0999999996</v>
      </c>
      <c r="U9" s="20" t="str">
        <f t="shared" si="3"/>
        <v/>
      </c>
      <c r="V9" s="20" t="str">
        <f t="shared" si="4"/>
        <v>GreenehospitalAux_Equip</v>
      </c>
      <c r="W9" s="20" t="str">
        <f t="shared" si="5"/>
        <v>Greenehospital</v>
      </c>
      <c r="Y9" s="20" t="s">
        <v>434</v>
      </c>
      <c r="Z9" s="20" t="s">
        <v>448</v>
      </c>
      <c r="AA9" s="20" t="s">
        <v>434</v>
      </c>
      <c r="AB9" s="20" t="str">
        <f ca="1">IFERROR(__xludf.DUMMYFUNCTION("""COMPUTED_VALUE"""),"primaryschool")</f>
        <v>primaryschool</v>
      </c>
      <c r="AC9" s="20" t="s">
        <v>450</v>
      </c>
      <c r="AD9" s="20" t="str">
        <f t="shared" ref="AD9:AF9" si="12">IF(SUMIFS($P$3:$P$254,$K$3:$K$254,CONCATENATE("OH, ",AD$2," County"),$L$3:$L$254,$AA9)&gt;0,"OK","")</f>
        <v>OK</v>
      </c>
      <c r="AE9" s="20" t="str">
        <f t="shared" si="12"/>
        <v>OK</v>
      </c>
      <c r="AF9" s="20" t="str">
        <f t="shared" si="12"/>
        <v>OK</v>
      </c>
    </row>
    <row r="10" spans="1:32">
      <c r="A10" s="20" t="str">
        <f t="shared" si="0"/>
        <v>Greenewarehouse</v>
      </c>
      <c r="B10" s="20" t="s">
        <v>5</v>
      </c>
      <c r="C10" s="20" t="s">
        <v>451</v>
      </c>
      <c r="D10" s="21">
        <f ca="1">OFFSET('Replica Building Area'!$A$1,MATCH(B10,'Replica Building Area'!$A$1:$A$4,0)-1,MATCH(_xlfn.CONCAT("building_area_",C10),'Replica Building Area'!$A$1:$T$1,0)-1)</f>
        <v>438941</v>
      </c>
      <c r="I10" s="20" t="str">
        <f t="shared" si="1"/>
        <v>warehouse</v>
      </c>
      <c r="J10" s="25"/>
      <c r="K10" s="20" t="s">
        <v>367</v>
      </c>
      <c r="L10" s="20" t="s">
        <v>449</v>
      </c>
      <c r="M10" s="20" t="s">
        <v>433</v>
      </c>
      <c r="N10" s="20">
        <v>0</v>
      </c>
      <c r="O10" s="20">
        <v>0</v>
      </c>
      <c r="P10" s="20">
        <v>2611291.7000000002</v>
      </c>
      <c r="Q10" s="20">
        <v>0</v>
      </c>
      <c r="R10" s="20">
        <v>0</v>
      </c>
      <c r="S10" s="20">
        <v>0</v>
      </c>
      <c r="T10" s="20">
        <f t="shared" si="2"/>
        <v>2611291.7000000002</v>
      </c>
      <c r="U10" s="20" t="str">
        <f t="shared" si="3"/>
        <v/>
      </c>
      <c r="V10" s="20" t="str">
        <f t="shared" si="4"/>
        <v>GreenehospitalAux_Motors</v>
      </c>
      <c r="W10" s="20" t="str">
        <f t="shared" si="5"/>
        <v>Greenehospital</v>
      </c>
      <c r="Y10" s="20" t="s">
        <v>452</v>
      </c>
      <c r="Z10" s="20" t="s">
        <v>451</v>
      </c>
      <c r="AA10" s="20" t="s">
        <v>452</v>
      </c>
      <c r="AB10" s="20" t="str">
        <f ca="1">IFERROR(__xludf.DUMMYFUNCTION("""COMPUTED_VALUE"""),"quickservicerestaurant")</f>
        <v>quickservicerestaurant</v>
      </c>
      <c r="AC10" s="20" t="s">
        <v>431</v>
      </c>
      <c r="AD10" s="20" t="str">
        <f t="shared" ref="AD10:AF10" si="13">IF(SUMIFS($P$3:$P$254,$K$3:$K$254,CONCATENATE("OH, ",AD$2," County"),$L$3:$L$254,$AA10)&gt;0,"OK","")</f>
        <v>OK</v>
      </c>
      <c r="AE10" s="20" t="str">
        <f t="shared" si="13"/>
        <v>OK</v>
      </c>
      <c r="AF10" s="20" t="str">
        <f t="shared" si="13"/>
        <v>OK</v>
      </c>
    </row>
    <row r="11" spans="1:32">
      <c r="A11" s="20" t="str">
        <f t="shared" si="0"/>
        <v>Greenewarehouse</v>
      </c>
      <c r="B11" s="20" t="s">
        <v>5</v>
      </c>
      <c r="C11" s="20" t="s">
        <v>453</v>
      </c>
      <c r="D11" s="21">
        <f ca="1">OFFSET('Replica Building Area'!$A$1,MATCH(B11,'Replica Building Area'!$A$1:$A$4,0)-1,MATCH(_xlfn.CONCAT("building_area_",C11),'Replica Building Area'!$A$1:$T$1,0)-1)</f>
        <v>1130612</v>
      </c>
      <c r="I11" s="20" t="str">
        <f t="shared" si="1"/>
        <v>warehouse</v>
      </c>
      <c r="K11" s="20" t="s">
        <v>367</v>
      </c>
      <c r="L11" s="20" t="s">
        <v>449</v>
      </c>
      <c r="M11" s="20" t="s">
        <v>437</v>
      </c>
      <c r="N11" s="20">
        <v>0</v>
      </c>
      <c r="O11" s="20">
        <v>0</v>
      </c>
      <c r="P11" s="20">
        <v>4609502.38</v>
      </c>
      <c r="Q11" s="20">
        <v>0</v>
      </c>
      <c r="R11" s="20">
        <v>0</v>
      </c>
      <c r="S11" s="20">
        <v>0</v>
      </c>
      <c r="T11" s="20">
        <f t="shared" si="2"/>
        <v>4609502.38</v>
      </c>
      <c r="U11" s="20" t="str">
        <f t="shared" si="3"/>
        <v/>
      </c>
      <c r="V11" s="20" t="str">
        <f t="shared" si="4"/>
        <v>GreenehospitalLighting</v>
      </c>
      <c r="W11" s="20" t="str">
        <f t="shared" si="5"/>
        <v>Greenehospital</v>
      </c>
      <c r="Y11" s="20" t="s">
        <v>452</v>
      </c>
      <c r="Z11" s="20" t="s">
        <v>453</v>
      </c>
      <c r="AA11" s="20" t="s">
        <v>452</v>
      </c>
      <c r="AB11" s="20" t="str">
        <f ca="1">IFERROR(__xludf.DUMMYFUNCTION("""COMPUTED_VALUE"""),"retailstandalone")</f>
        <v>retailstandalone</v>
      </c>
      <c r="AC11" s="20" t="s">
        <v>454</v>
      </c>
      <c r="AD11" s="20" t="str">
        <f t="shared" ref="AD11:AF11" si="14">IF(SUMIFS($P$3:$P$254,$K$3:$K$254,CONCATENATE("OH, ",AD$2," County"),$L$3:$L$254,$AA11)&gt;0,"OK","")</f>
        <v>OK</v>
      </c>
      <c r="AE11" s="20" t="str">
        <f t="shared" si="14"/>
        <v>OK</v>
      </c>
      <c r="AF11" s="20" t="str">
        <f t="shared" si="14"/>
        <v>OK</v>
      </c>
    </row>
    <row r="12" spans="1:32">
      <c r="A12" s="20" t="str">
        <f t="shared" si="0"/>
        <v>Greenewarehouse</v>
      </c>
      <c r="B12" s="20" t="s">
        <v>5</v>
      </c>
      <c r="C12" s="20" t="s">
        <v>455</v>
      </c>
      <c r="D12" s="21">
        <f ca="1">OFFSET('Replica Building Area'!$A$1,MATCH(B12,'Replica Building Area'!$A$1:$A$4,0)-1,MATCH(_xlfn.CONCAT("building_area_",C12),'Replica Building Area'!$A$1:$T$1,0)-1)</f>
        <v>4313005</v>
      </c>
      <c r="I12" s="20" t="str">
        <f t="shared" si="1"/>
        <v>warehouse</v>
      </c>
      <c r="J12" s="25"/>
      <c r="K12" s="20" t="s">
        <v>367</v>
      </c>
      <c r="L12" s="20" t="s">
        <v>449</v>
      </c>
      <c r="M12" s="20" t="s">
        <v>440</v>
      </c>
      <c r="N12" s="20">
        <v>0</v>
      </c>
      <c r="O12" s="20">
        <v>0</v>
      </c>
      <c r="P12" s="20">
        <v>4154930.24</v>
      </c>
      <c r="Q12" s="20">
        <v>0</v>
      </c>
      <c r="R12" s="20">
        <v>0</v>
      </c>
      <c r="S12" s="20">
        <v>0</v>
      </c>
      <c r="T12" s="20">
        <f t="shared" si="2"/>
        <v>4154930.24</v>
      </c>
      <c r="U12" s="20" t="str">
        <f t="shared" si="3"/>
        <v/>
      </c>
      <c r="V12" s="20" t="str">
        <f t="shared" si="4"/>
        <v>GreenehospitalSpace_Cooling</v>
      </c>
      <c r="W12" s="20" t="str">
        <f t="shared" si="5"/>
        <v>Greenehospital</v>
      </c>
      <c r="Y12" s="20" t="s">
        <v>452</v>
      </c>
      <c r="Z12" s="20" t="s">
        <v>455</v>
      </c>
      <c r="AA12" s="20" t="s">
        <v>452</v>
      </c>
      <c r="AB12" s="20" t="str">
        <f ca="1">IFERROR(__xludf.DUMMYFUNCTION("""COMPUTED_VALUE"""),"retailstripmall")</f>
        <v>retailstripmall</v>
      </c>
      <c r="AC12" s="20" t="s">
        <v>454</v>
      </c>
      <c r="AD12" s="20" t="str">
        <f t="shared" ref="AD12:AF12" si="15">IF(SUMIFS($P$3:$P$254,$K$3:$K$254,CONCATENATE("OH, ",AD$2," County"),$L$3:$L$254,$AA12)&gt;0,"OK","")</f>
        <v>OK</v>
      </c>
      <c r="AE12" s="20" t="str">
        <f t="shared" si="15"/>
        <v>OK</v>
      </c>
      <c r="AF12" s="20" t="str">
        <f t="shared" si="15"/>
        <v>OK</v>
      </c>
    </row>
    <row r="13" spans="1:32">
      <c r="A13" s="20" t="str">
        <f t="shared" si="0"/>
        <v>Greenefullservicerestaurant</v>
      </c>
      <c r="B13" s="20" t="s">
        <v>5</v>
      </c>
      <c r="C13" s="20" t="s">
        <v>288</v>
      </c>
      <c r="D13" s="21">
        <f ca="1">OFFSET('Replica Building Area'!$A$1,MATCH(B13,'Replica Building Area'!$A$1:$A$4,0)-1,MATCH(_xlfn.CONCAT("building_area_",C13),'Replica Building Area'!$A$1:$T$1,0)-1)</f>
        <v>61962</v>
      </c>
      <c r="I13" s="20" t="str">
        <f t="shared" si="1"/>
        <v>fullservicerestaurant</v>
      </c>
      <c r="J13" s="25"/>
      <c r="K13" s="20" t="s">
        <v>367</v>
      </c>
      <c r="L13" s="20" t="s">
        <v>449</v>
      </c>
      <c r="M13" s="20" t="s">
        <v>443</v>
      </c>
      <c r="N13" s="20">
        <v>0</v>
      </c>
      <c r="O13" s="20">
        <v>0</v>
      </c>
      <c r="P13" s="20">
        <v>0</v>
      </c>
      <c r="Q13" s="20">
        <v>9410038.1099999994</v>
      </c>
      <c r="R13" s="20">
        <v>0</v>
      </c>
      <c r="S13" s="20">
        <v>0</v>
      </c>
      <c r="T13" s="20">
        <f t="shared" si="2"/>
        <v>9410038.1099999994</v>
      </c>
      <c r="U13" s="20" t="str">
        <f t="shared" si="3"/>
        <v/>
      </c>
      <c r="V13" s="20" t="str">
        <f t="shared" si="4"/>
        <v>GreenehospitalSpace_Heating</v>
      </c>
      <c r="W13" s="20" t="str">
        <f t="shared" si="5"/>
        <v>Greenehospital</v>
      </c>
      <c r="Y13" s="20" t="s">
        <v>428</v>
      </c>
      <c r="Z13" s="20" t="s">
        <v>288</v>
      </c>
      <c r="AA13" s="20" t="s">
        <v>428</v>
      </c>
      <c r="AB13" s="20" t="str">
        <f ca="1">IFERROR(__xludf.DUMMYFUNCTION("""COMPUTED_VALUE"""),"secondaryschool")</f>
        <v>secondaryschool</v>
      </c>
      <c r="AC13" s="20" t="s">
        <v>450</v>
      </c>
      <c r="AD13" s="20" t="str">
        <f t="shared" ref="AD13:AF13" si="16">IF(SUMIFS($P$3:$P$254,$K$3:$K$254,CONCATENATE("OH, ",AD$2," County"),$L$3:$L$254,$AA13)&gt;0,"OK","")</f>
        <v>OK</v>
      </c>
      <c r="AE13" s="20" t="str">
        <f t="shared" si="16"/>
        <v>OK</v>
      </c>
      <c r="AF13" s="20" t="str">
        <f t="shared" si="16"/>
        <v>OK</v>
      </c>
    </row>
    <row r="14" spans="1:32">
      <c r="A14" s="20" t="str">
        <f t="shared" si="0"/>
        <v>Greenequickservicerestaurant</v>
      </c>
      <c r="B14" s="20" t="s">
        <v>5</v>
      </c>
      <c r="C14" s="20" t="s">
        <v>456</v>
      </c>
      <c r="D14" s="21">
        <f ca="1">OFFSET('Replica Building Area'!$A$1,MATCH(B14,'Replica Building Area'!$A$1:$A$4,0)-1,MATCH(_xlfn.CONCAT("building_area_",C14),'Replica Building Area'!$A$1:$T$1,0)-1)</f>
        <v>8123090</v>
      </c>
      <c r="I14" s="20" t="str">
        <f t="shared" si="1"/>
        <v>quickservicerestaurant</v>
      </c>
      <c r="J14" s="25"/>
      <c r="K14" s="20" t="s">
        <v>367</v>
      </c>
      <c r="L14" s="20" t="s">
        <v>449</v>
      </c>
      <c r="M14" s="20" t="s">
        <v>445</v>
      </c>
      <c r="N14" s="20">
        <v>0</v>
      </c>
      <c r="O14" s="20">
        <v>0</v>
      </c>
      <c r="P14" s="20">
        <v>1092585.93</v>
      </c>
      <c r="Q14" s="20">
        <v>1594780.26</v>
      </c>
      <c r="R14" s="20">
        <v>0</v>
      </c>
      <c r="S14" s="20">
        <v>0</v>
      </c>
      <c r="T14" s="20">
        <f t="shared" si="2"/>
        <v>2687366.19</v>
      </c>
      <c r="U14" s="20" t="str">
        <f t="shared" si="3"/>
        <v/>
      </c>
      <c r="V14" s="20" t="str">
        <f t="shared" si="4"/>
        <v>GreenehospitalWater_Heating</v>
      </c>
      <c r="W14" s="20" t="str">
        <f t="shared" si="5"/>
        <v>Greenehospital</v>
      </c>
      <c r="Y14" s="20" t="s">
        <v>457</v>
      </c>
      <c r="Z14" s="20" t="s">
        <v>456</v>
      </c>
      <c r="AA14" s="20" t="s">
        <v>457</v>
      </c>
      <c r="AB14" s="20" t="str">
        <f ca="1">IFERROR(__xludf.DUMMYFUNCTION("""COMPUTED_VALUE"""),"smallhotel")</f>
        <v>smallhotel</v>
      </c>
      <c r="AC14" s="20" t="s">
        <v>439</v>
      </c>
      <c r="AD14" s="20" t="str">
        <f t="shared" ref="AD14:AF14" si="17">IF(SUMIFS($P$3:$P$254,$K$3:$K$254,CONCATENATE("OH, ",AD$2," County"),$L$3:$L$254,$AA14)&gt;0,"OK","")</f>
        <v>OK</v>
      </c>
      <c r="AE14" s="20" t="str">
        <f t="shared" si="17"/>
        <v>OK</v>
      </c>
      <c r="AF14" s="20" t="str">
        <f t="shared" si="17"/>
        <v>OK</v>
      </c>
    </row>
    <row r="15" spans="1:32">
      <c r="A15" s="20" t="str">
        <f t="shared" si="0"/>
        <v>Miamiretailstandalone</v>
      </c>
      <c r="B15" s="20" t="s">
        <v>9</v>
      </c>
      <c r="C15" s="20" t="s">
        <v>427</v>
      </c>
      <c r="D15" s="21">
        <f ca="1">OFFSET('Replica Building Area'!$A$1,MATCH(B15,'Replica Building Area'!$A$1:$A$4,0)-1,MATCH(_xlfn.CONCAT("building_area_",C15),'Replica Building Area'!$A$1:$T$1,0)-1)</f>
        <v>10078144</v>
      </c>
      <c r="I15" s="20" t="str">
        <f t="shared" si="1"/>
        <v>retailstandalone</v>
      </c>
      <c r="J15" s="25"/>
      <c r="K15" s="20" t="s">
        <v>367</v>
      </c>
      <c r="L15" s="20" t="s">
        <v>458</v>
      </c>
      <c r="M15" s="20" t="s">
        <v>429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f t="shared" si="2"/>
        <v>0</v>
      </c>
      <c r="U15" s="20" t="str">
        <f t="shared" si="3"/>
        <v/>
      </c>
      <c r="V15" s="20" t="str">
        <f t="shared" si="4"/>
        <v>GreenelargehotelAux_Equip</v>
      </c>
      <c r="W15" s="20" t="str">
        <f t="shared" si="5"/>
        <v>Greenelargehotel</v>
      </c>
      <c r="AB15" s="20" t="str">
        <f ca="1">IFERROR(__xludf.DUMMYFUNCTION("""COMPUTED_VALUE"""),"smalloffice")</f>
        <v>smalloffice</v>
      </c>
      <c r="AC15" s="20" t="s">
        <v>441</v>
      </c>
    </row>
    <row r="16" spans="1:32">
      <c r="A16" s="20" t="str">
        <f t="shared" si="0"/>
        <v>Miamimediumoffice</v>
      </c>
      <c r="B16" s="20" t="s">
        <v>9</v>
      </c>
      <c r="C16" s="20" t="s">
        <v>432</v>
      </c>
      <c r="D16" s="21">
        <f ca="1">OFFSET('Replica Building Area'!$A$1,MATCH(B16,'Replica Building Area'!$A$1:$A$4,0)-1,MATCH(_xlfn.CONCAT("building_area_",C16),'Replica Building Area'!$A$1:$T$1,0)-1)</f>
        <v>3639002</v>
      </c>
      <c r="I16" s="20" t="str">
        <f t="shared" si="1"/>
        <v>mediumoffice</v>
      </c>
      <c r="J16" s="25"/>
      <c r="K16" s="20" t="s">
        <v>367</v>
      </c>
      <c r="L16" s="20" t="s">
        <v>458</v>
      </c>
      <c r="M16" s="20" t="s">
        <v>433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f t="shared" si="2"/>
        <v>0</v>
      </c>
      <c r="U16" s="20" t="str">
        <f t="shared" si="3"/>
        <v/>
      </c>
      <c r="V16" s="20" t="str">
        <f t="shared" si="4"/>
        <v>GreenelargehotelAux_Motors</v>
      </c>
      <c r="W16" s="20" t="str">
        <f t="shared" si="5"/>
        <v>Greenelargehotel</v>
      </c>
      <c r="X16" s="20"/>
      <c r="AB16" s="20" t="str">
        <f ca="1">IFERROR(__xludf.DUMMYFUNCTION("""COMPUTED_VALUE"""),"warehouse")</f>
        <v>warehouse</v>
      </c>
      <c r="AC16" s="20" t="s">
        <v>459</v>
      </c>
    </row>
    <row r="17" spans="1:28">
      <c r="A17" s="20" t="str">
        <f t="shared" si="0"/>
        <v>Miamismallhotel</v>
      </c>
      <c r="B17" s="20" t="s">
        <v>9</v>
      </c>
      <c r="C17" s="20" t="s">
        <v>436</v>
      </c>
      <c r="D17" s="21">
        <f ca="1">OFFSET('Replica Building Area'!$A$1,MATCH(B17,'Replica Building Area'!$A$1:$A$4,0)-1,MATCH(_xlfn.CONCAT("building_area_",C17),'Replica Building Area'!$A$1:$T$1,0)-1)</f>
        <v>1570872</v>
      </c>
      <c r="I17" s="20" t="str">
        <f t="shared" si="1"/>
        <v>smallhotel</v>
      </c>
      <c r="J17" s="25"/>
      <c r="K17" s="20" t="s">
        <v>367</v>
      </c>
      <c r="L17" s="20" t="s">
        <v>458</v>
      </c>
      <c r="M17" s="20" t="s">
        <v>437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f t="shared" si="2"/>
        <v>0</v>
      </c>
      <c r="U17" s="20" t="str">
        <f t="shared" si="3"/>
        <v/>
      </c>
      <c r="V17" s="20" t="str">
        <f t="shared" si="4"/>
        <v>GreenelargehotelLighting</v>
      </c>
      <c r="W17" s="20" t="str">
        <f t="shared" si="5"/>
        <v>Greenelargehotel</v>
      </c>
      <c r="AB17" s="20"/>
    </row>
    <row r="18" spans="1:28">
      <c r="A18" s="20" t="str">
        <f t="shared" si="0"/>
        <v>Miami0</v>
      </c>
      <c r="B18" s="20" t="s">
        <v>9</v>
      </c>
      <c r="C18" s="20" t="s">
        <v>8</v>
      </c>
      <c r="D18" s="118">
        <v>0</v>
      </c>
      <c r="I18" s="20">
        <f t="shared" si="1"/>
        <v>0</v>
      </c>
      <c r="J18" s="25"/>
      <c r="K18" s="20" t="s">
        <v>367</v>
      </c>
      <c r="L18" s="20" t="s">
        <v>458</v>
      </c>
      <c r="M18" s="20" t="s">
        <v>440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f t="shared" si="2"/>
        <v>0</v>
      </c>
      <c r="U18" s="20" t="str">
        <f t="shared" si="3"/>
        <v/>
      </c>
      <c r="V18" s="20" t="str">
        <f t="shared" si="4"/>
        <v>GreenelargehotelSpace_Cooling</v>
      </c>
      <c r="W18" s="20" t="str">
        <f t="shared" si="5"/>
        <v>Greenelargehotel</v>
      </c>
    </row>
    <row r="19" spans="1:28">
      <c r="A19" s="20" t="str">
        <f t="shared" si="0"/>
        <v>Miamimediumoffice</v>
      </c>
      <c r="B19" s="20" t="s">
        <v>9</v>
      </c>
      <c r="C19" s="20" t="s">
        <v>442</v>
      </c>
      <c r="D19" s="21">
        <f ca="1">OFFSET('Replica Building Area'!$A$1,MATCH(B19,'Replica Building Area'!$A$1:$A$4,0)-1,MATCH(_xlfn.CONCAT("building_area_",C19),'Replica Building Area'!$A$1:$T$1,0)-1)</f>
        <v>1968984</v>
      </c>
      <c r="I19" s="20" t="str">
        <f t="shared" si="1"/>
        <v>mediumoffice</v>
      </c>
      <c r="J19" s="25"/>
      <c r="K19" s="20" t="s">
        <v>367</v>
      </c>
      <c r="L19" s="20" t="s">
        <v>458</v>
      </c>
      <c r="M19" s="20" t="s">
        <v>443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f t="shared" si="2"/>
        <v>0</v>
      </c>
      <c r="U19" s="20" t="str">
        <f t="shared" si="3"/>
        <v/>
      </c>
      <c r="V19" s="20" t="str">
        <f t="shared" si="4"/>
        <v>GreenelargehotelSpace_Heating</v>
      </c>
      <c r="W19" s="20" t="str">
        <f t="shared" si="5"/>
        <v>Greenelargehotel</v>
      </c>
    </row>
    <row r="20" spans="1:28">
      <c r="A20" s="20" t="str">
        <f t="shared" si="0"/>
        <v>Miamiprimaryschool</v>
      </c>
      <c r="B20" s="20" t="s">
        <v>9</v>
      </c>
      <c r="C20" s="20" t="s">
        <v>444</v>
      </c>
      <c r="D20" s="21">
        <f ca="1">OFFSET('Replica Building Area'!$A$1,MATCH(B20,'Replica Building Area'!$A$1:$A$4,0)-1,MATCH(_xlfn.CONCAT("building_area_",C20),'Replica Building Area'!$A$1:$T$1,0)-1)</f>
        <v>3158100</v>
      </c>
      <c r="I20" s="20" t="str">
        <f t="shared" si="1"/>
        <v>primaryschool</v>
      </c>
      <c r="J20" s="25"/>
      <c r="K20" s="20" t="s">
        <v>367</v>
      </c>
      <c r="L20" s="20" t="s">
        <v>458</v>
      </c>
      <c r="M20" s="20" t="s">
        <v>445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f t="shared" si="2"/>
        <v>0</v>
      </c>
      <c r="U20" s="20" t="str">
        <f t="shared" si="3"/>
        <v/>
      </c>
      <c r="V20" s="20" t="str">
        <f t="shared" si="4"/>
        <v>GreenelargehotelWater_Heating</v>
      </c>
      <c r="W20" s="20" t="str">
        <f t="shared" si="5"/>
        <v>Greenelargehotel</v>
      </c>
    </row>
    <row r="21" spans="1:28">
      <c r="A21" s="20" t="str">
        <f t="shared" si="0"/>
        <v>Miamimediumoffice</v>
      </c>
      <c r="B21" s="20" t="s">
        <v>9</v>
      </c>
      <c r="C21" s="20" t="s">
        <v>448</v>
      </c>
      <c r="D21" s="21">
        <f ca="1">OFFSET('Replica Building Area'!$A$1,MATCH(B21,'Replica Building Area'!$A$1:$A$4,0)-1,MATCH(_xlfn.CONCAT("building_area_",C21),'Replica Building Area'!$A$1:$T$1,0)-1)</f>
        <v>2816126</v>
      </c>
      <c r="I21" s="20" t="str">
        <f t="shared" si="1"/>
        <v>mediumoffice</v>
      </c>
      <c r="J21" s="25"/>
      <c r="K21" s="20" t="s">
        <v>367</v>
      </c>
      <c r="L21" s="20" t="s">
        <v>460</v>
      </c>
      <c r="M21" s="20" t="s">
        <v>429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f t="shared" si="2"/>
        <v>0</v>
      </c>
      <c r="U21" s="20" t="str">
        <f t="shared" si="3"/>
        <v/>
      </c>
      <c r="V21" s="20" t="str">
        <f t="shared" si="4"/>
        <v>GreenelargeofficeAux_Equip</v>
      </c>
      <c r="W21" s="20" t="str">
        <f t="shared" si="5"/>
        <v>Greenelargeoffice</v>
      </c>
    </row>
    <row r="22" spans="1:28">
      <c r="A22" s="20" t="str">
        <f t="shared" si="0"/>
        <v>Miamiwarehouse</v>
      </c>
      <c r="B22" s="20" t="s">
        <v>9</v>
      </c>
      <c r="C22" s="20" t="s">
        <v>451</v>
      </c>
      <c r="D22" s="21">
        <f ca="1">OFFSET('Replica Building Area'!$A$1,MATCH(B22,'Replica Building Area'!$A$1:$A$4,0)-1,MATCH(_xlfn.CONCAT("building_area_",C22),'Replica Building Area'!$A$1:$T$1,0)-1)</f>
        <v>101153</v>
      </c>
      <c r="I22" s="20" t="str">
        <f t="shared" si="1"/>
        <v>warehouse</v>
      </c>
      <c r="J22" s="25"/>
      <c r="K22" s="20" t="s">
        <v>367</v>
      </c>
      <c r="L22" s="20" t="s">
        <v>460</v>
      </c>
      <c r="M22" s="20" t="s">
        <v>433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f t="shared" si="2"/>
        <v>0</v>
      </c>
      <c r="U22" s="20" t="str">
        <f t="shared" si="3"/>
        <v/>
      </c>
      <c r="V22" s="20" t="str">
        <f t="shared" si="4"/>
        <v>GreenelargeofficeAux_Motors</v>
      </c>
      <c r="W22" s="20" t="str">
        <f t="shared" si="5"/>
        <v>Greenelargeoffice</v>
      </c>
    </row>
    <row r="23" spans="1:28">
      <c r="A23" s="20" t="str">
        <f t="shared" si="0"/>
        <v>Miamiwarehouse</v>
      </c>
      <c r="B23" s="20" t="s">
        <v>9</v>
      </c>
      <c r="C23" s="20" t="s">
        <v>453</v>
      </c>
      <c r="D23" s="21">
        <f ca="1">OFFSET('Replica Building Area'!$A$1,MATCH(B23,'Replica Building Area'!$A$1:$A$4,0)-1,MATCH(_xlfn.CONCAT("building_area_",C23),'Replica Building Area'!$A$1:$T$1,0)-1)</f>
        <v>905012</v>
      </c>
      <c r="I23" s="20" t="str">
        <f t="shared" si="1"/>
        <v>warehouse</v>
      </c>
      <c r="J23" s="25"/>
      <c r="K23" s="20" t="s">
        <v>367</v>
      </c>
      <c r="L23" s="20" t="s">
        <v>460</v>
      </c>
      <c r="M23" s="20" t="s">
        <v>437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f t="shared" si="2"/>
        <v>0</v>
      </c>
      <c r="U23" s="20" t="str">
        <f t="shared" si="3"/>
        <v/>
      </c>
      <c r="V23" s="20" t="str">
        <f t="shared" si="4"/>
        <v>GreenelargeofficeLighting</v>
      </c>
      <c r="W23" s="20" t="str">
        <f t="shared" si="5"/>
        <v>Greenelargeoffice</v>
      </c>
    </row>
    <row r="24" spans="1:28">
      <c r="A24" s="20" t="str">
        <f t="shared" si="0"/>
        <v>Miamiwarehouse</v>
      </c>
      <c r="B24" s="20" t="s">
        <v>9</v>
      </c>
      <c r="C24" s="20" t="s">
        <v>455</v>
      </c>
      <c r="D24" s="21">
        <f ca="1">OFFSET('Replica Building Area'!$A$1,MATCH(B24,'Replica Building Area'!$A$1:$A$4,0)-1,MATCH(_xlfn.CONCAT("building_area_",C24),'Replica Building Area'!$A$1:$T$1,0)-1)</f>
        <v>4995931</v>
      </c>
      <c r="I24" s="20" t="str">
        <f t="shared" si="1"/>
        <v>warehouse</v>
      </c>
      <c r="K24" s="20" t="s">
        <v>367</v>
      </c>
      <c r="L24" s="20" t="s">
        <v>460</v>
      </c>
      <c r="M24" s="20" t="s">
        <v>440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f t="shared" si="2"/>
        <v>0</v>
      </c>
      <c r="U24" s="20" t="str">
        <f t="shared" si="3"/>
        <v/>
      </c>
      <c r="V24" s="20" t="str">
        <f t="shared" si="4"/>
        <v>GreenelargeofficeSpace_Cooling</v>
      </c>
      <c r="W24" s="20" t="str">
        <f t="shared" si="5"/>
        <v>Greenelargeoffice</v>
      </c>
    </row>
    <row r="25" spans="1:28">
      <c r="A25" s="20" t="str">
        <f t="shared" si="0"/>
        <v>Miamifullservicerestaurant</v>
      </c>
      <c r="B25" s="20" t="s">
        <v>9</v>
      </c>
      <c r="C25" s="20" t="s">
        <v>288</v>
      </c>
      <c r="D25" s="21">
        <f ca="1">OFFSET('Replica Building Area'!$A$1,MATCH(B25,'Replica Building Area'!$A$1:$A$4,0)-1,MATCH(_xlfn.CONCAT("building_area_",C25),'Replica Building Area'!$A$1:$T$1,0)-1)</f>
        <v>97746</v>
      </c>
      <c r="I25" s="20" t="str">
        <f t="shared" si="1"/>
        <v>fullservicerestaurant</v>
      </c>
      <c r="K25" s="20" t="s">
        <v>367</v>
      </c>
      <c r="L25" s="20" t="s">
        <v>460</v>
      </c>
      <c r="M25" s="20" t="s">
        <v>443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f t="shared" si="2"/>
        <v>0</v>
      </c>
      <c r="U25" s="20" t="str">
        <f t="shared" si="3"/>
        <v/>
      </c>
      <c r="V25" s="20" t="str">
        <f t="shared" si="4"/>
        <v>GreenelargeofficeSpace_Heating</v>
      </c>
      <c r="W25" s="20" t="str">
        <f t="shared" si="5"/>
        <v>Greenelargeoffice</v>
      </c>
    </row>
    <row r="26" spans="1:28">
      <c r="A26" s="20" t="str">
        <f t="shared" si="0"/>
        <v>Miamiquickservicerestaurant</v>
      </c>
      <c r="B26" s="20" t="s">
        <v>9</v>
      </c>
      <c r="C26" s="20" t="s">
        <v>456</v>
      </c>
      <c r="D26" s="21">
        <f ca="1">OFFSET('Replica Building Area'!$A$1,MATCH(B26,'Replica Building Area'!$A$1:$A$4,0)-1,MATCH(_xlfn.CONCAT("building_area_",C26),'Replica Building Area'!$A$1:$T$1,0)-1)</f>
        <v>379426</v>
      </c>
      <c r="I26" s="20" t="str">
        <f t="shared" si="1"/>
        <v>quickservicerestaurant</v>
      </c>
      <c r="K26" s="20" t="s">
        <v>367</v>
      </c>
      <c r="L26" s="20" t="s">
        <v>460</v>
      </c>
      <c r="M26" s="20" t="s">
        <v>445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f t="shared" si="2"/>
        <v>0</v>
      </c>
      <c r="U26" s="20" t="str">
        <f t="shared" si="3"/>
        <v/>
      </c>
      <c r="V26" s="20" t="str">
        <f t="shared" si="4"/>
        <v>GreenelargeofficeWater_Heating</v>
      </c>
      <c r="W26" s="20" t="str">
        <f t="shared" si="5"/>
        <v>Greenelargeoffice</v>
      </c>
      <c r="X26" s="20"/>
      <c r="Y26" s="20" t="s">
        <v>427</v>
      </c>
      <c r="Z26" s="20" t="s">
        <v>430</v>
      </c>
    </row>
    <row r="27" spans="1:28">
      <c r="A27" s="20" t="str">
        <f t="shared" si="0"/>
        <v>Montgomeryretailstandalone</v>
      </c>
      <c r="B27" s="20" t="s">
        <v>10</v>
      </c>
      <c r="C27" s="20" t="s">
        <v>427</v>
      </c>
      <c r="D27" s="21">
        <f ca="1">OFFSET('Replica Building Area'!$A$1,MATCH(B27,'Replica Building Area'!$A$1:$A$4,0)-1,MATCH(_xlfn.CONCAT("building_area_",C27),'Replica Building Area'!$A$1:$T$1,0)-1)</f>
        <v>70849917</v>
      </c>
      <c r="I27" s="20" t="str">
        <f t="shared" si="1"/>
        <v>retailstandalone</v>
      </c>
      <c r="K27" s="20" t="s">
        <v>367</v>
      </c>
      <c r="L27" s="20" t="s">
        <v>434</v>
      </c>
      <c r="M27" s="20" t="s">
        <v>429</v>
      </c>
      <c r="N27" s="20">
        <v>0</v>
      </c>
      <c r="O27" s="20">
        <v>0</v>
      </c>
      <c r="P27" s="20">
        <v>7448374.2699999996</v>
      </c>
      <c r="Q27" s="20">
        <v>0</v>
      </c>
      <c r="R27" s="20">
        <v>0</v>
      </c>
      <c r="S27" s="20">
        <v>0</v>
      </c>
      <c r="T27" s="20">
        <f t="shared" si="2"/>
        <v>7448374.2699999996</v>
      </c>
      <c r="U27" s="20" t="str">
        <f t="shared" si="3"/>
        <v>commercial_office</v>
      </c>
      <c r="V27" s="20" t="str">
        <f t="shared" si="4"/>
        <v>GreenemediumofficeAux_Equip</v>
      </c>
      <c r="W27" s="20" t="str">
        <f t="shared" si="5"/>
        <v>Greenemediumoffice</v>
      </c>
      <c r="X27" s="20"/>
      <c r="Y27" s="20" t="s">
        <v>432</v>
      </c>
      <c r="Z27" s="20" t="s">
        <v>434</v>
      </c>
    </row>
    <row r="28" spans="1:28">
      <c r="A28" s="20" t="str">
        <f t="shared" si="0"/>
        <v>Montgomerymediumoffice</v>
      </c>
      <c r="B28" s="20" t="s">
        <v>10</v>
      </c>
      <c r="C28" s="20" t="s">
        <v>432</v>
      </c>
      <c r="D28" s="21">
        <f ca="1">OFFSET('Replica Building Area'!$A$1,MATCH(B28,'Replica Building Area'!$A$1:$A$4,0)-1,MATCH(_xlfn.CONCAT("building_area_",C28),'Replica Building Area'!$A$1:$T$1,0)-1)</f>
        <v>37635615</v>
      </c>
      <c r="I28" s="20" t="str">
        <f t="shared" si="1"/>
        <v>mediumoffice</v>
      </c>
      <c r="K28" s="20" t="s">
        <v>367</v>
      </c>
      <c r="L28" s="20" t="s">
        <v>434</v>
      </c>
      <c r="M28" s="20" t="s">
        <v>433</v>
      </c>
      <c r="N28" s="20">
        <v>0</v>
      </c>
      <c r="O28" s="20">
        <v>0</v>
      </c>
      <c r="P28" s="20">
        <v>3614867.65</v>
      </c>
      <c r="Q28" s="20">
        <v>0</v>
      </c>
      <c r="R28" s="20">
        <v>0</v>
      </c>
      <c r="S28" s="20">
        <v>0</v>
      </c>
      <c r="T28" s="20">
        <f t="shared" si="2"/>
        <v>3614867.65</v>
      </c>
      <c r="U28" s="20" t="str">
        <f t="shared" si="3"/>
        <v>commercial_office</v>
      </c>
      <c r="V28" s="20" t="str">
        <f t="shared" si="4"/>
        <v>GreenemediumofficeAux_Motors</v>
      </c>
      <c r="W28" s="20" t="str">
        <f t="shared" si="5"/>
        <v>Greenemediumoffice</v>
      </c>
      <c r="X28" s="20"/>
      <c r="Y28" s="20" t="s">
        <v>436</v>
      </c>
      <c r="Z28" s="20" t="s">
        <v>438</v>
      </c>
    </row>
    <row r="29" spans="1:28">
      <c r="A29" s="20" t="str">
        <f t="shared" si="0"/>
        <v>Montgomerysmallhotel</v>
      </c>
      <c r="B29" s="20" t="s">
        <v>10</v>
      </c>
      <c r="C29" s="20" t="s">
        <v>436</v>
      </c>
      <c r="D29" s="21">
        <f ca="1">OFFSET('Replica Building Area'!$A$1,MATCH(B29,'Replica Building Area'!$A$1:$A$4,0)-1,MATCH(_xlfn.CONCAT("building_area_",C29),'Replica Building Area'!$A$1:$T$1,0)-1)</f>
        <v>7826533</v>
      </c>
      <c r="I29" s="20" t="str">
        <f t="shared" si="1"/>
        <v>smallhotel</v>
      </c>
      <c r="K29" s="20" t="s">
        <v>367</v>
      </c>
      <c r="L29" s="20" t="s">
        <v>434</v>
      </c>
      <c r="M29" s="20" t="s">
        <v>437</v>
      </c>
      <c r="N29" s="20">
        <v>0</v>
      </c>
      <c r="O29" s="20">
        <v>0</v>
      </c>
      <c r="P29" s="20">
        <v>2153783.85</v>
      </c>
      <c r="Q29" s="20">
        <v>0</v>
      </c>
      <c r="R29" s="20">
        <v>0</v>
      </c>
      <c r="S29" s="20">
        <v>0</v>
      </c>
      <c r="T29" s="20">
        <f t="shared" si="2"/>
        <v>2153783.85</v>
      </c>
      <c r="U29" s="20" t="str">
        <f t="shared" si="3"/>
        <v>commercial_office</v>
      </c>
      <c r="V29" s="20" t="str">
        <f t="shared" si="4"/>
        <v>GreenemediumofficeLighting</v>
      </c>
      <c r="W29" s="20" t="str">
        <f t="shared" si="5"/>
        <v>Greenemediumoffice</v>
      </c>
      <c r="X29" s="20"/>
      <c r="Y29" s="20" t="s">
        <v>8</v>
      </c>
      <c r="Z29" s="20" t="s">
        <v>452</v>
      </c>
    </row>
    <row r="30" spans="1:28">
      <c r="A30" s="20" t="str">
        <f t="shared" si="0"/>
        <v>Montgomery0</v>
      </c>
      <c r="B30" s="20" t="s">
        <v>10</v>
      </c>
      <c r="C30" s="20" t="s">
        <v>8</v>
      </c>
      <c r="D30" s="118">
        <v>0</v>
      </c>
      <c r="I30" s="20">
        <f t="shared" si="1"/>
        <v>0</v>
      </c>
      <c r="K30" s="20" t="s">
        <v>367</v>
      </c>
      <c r="L30" s="20" t="s">
        <v>434</v>
      </c>
      <c r="M30" s="20" t="s">
        <v>440</v>
      </c>
      <c r="N30" s="20">
        <v>0</v>
      </c>
      <c r="O30" s="20">
        <v>0</v>
      </c>
      <c r="P30" s="20">
        <v>2485953.4</v>
      </c>
      <c r="Q30" s="20">
        <v>0</v>
      </c>
      <c r="R30" s="20">
        <v>0</v>
      </c>
      <c r="S30" s="20">
        <v>0</v>
      </c>
      <c r="T30" s="20">
        <f t="shared" si="2"/>
        <v>2485953.4</v>
      </c>
      <c r="U30" s="20" t="str">
        <f t="shared" si="3"/>
        <v>commercial_office</v>
      </c>
      <c r="V30" s="20" t="str">
        <f t="shared" si="4"/>
        <v>GreenemediumofficeSpace_Cooling</v>
      </c>
      <c r="W30" s="20" t="str">
        <f t="shared" si="5"/>
        <v>Greenemediumoffice</v>
      </c>
      <c r="X30" s="20"/>
      <c r="Y30" s="20" t="s">
        <v>442</v>
      </c>
      <c r="Z30" s="20" t="s">
        <v>434</v>
      </c>
    </row>
    <row r="31" spans="1:28">
      <c r="A31" s="20" t="str">
        <f t="shared" si="0"/>
        <v>Montgomerymediumoffice</v>
      </c>
      <c r="B31" s="20" t="s">
        <v>10</v>
      </c>
      <c r="C31" s="20" t="s">
        <v>442</v>
      </c>
      <c r="D31" s="21">
        <f ca="1">OFFSET('Replica Building Area'!$A$1,MATCH(B31,'Replica Building Area'!$A$1:$A$4,0)-1,MATCH(_xlfn.CONCAT("building_area_",C31),'Replica Building Area'!$A$1:$T$1,0)-1)</f>
        <v>12230484</v>
      </c>
      <c r="I31" s="20" t="str">
        <f t="shared" si="1"/>
        <v>mediumoffice</v>
      </c>
      <c r="K31" s="20" t="s">
        <v>367</v>
      </c>
      <c r="L31" s="20" t="s">
        <v>434</v>
      </c>
      <c r="M31" s="20" t="s">
        <v>443</v>
      </c>
      <c r="N31" s="20">
        <v>0</v>
      </c>
      <c r="O31" s="20">
        <v>0</v>
      </c>
      <c r="P31" s="20">
        <v>0</v>
      </c>
      <c r="Q31" s="20">
        <v>4418480.78</v>
      </c>
      <c r="R31" s="20">
        <v>0</v>
      </c>
      <c r="S31" s="20">
        <v>0</v>
      </c>
      <c r="T31" s="20">
        <f t="shared" si="2"/>
        <v>4418480.78</v>
      </c>
      <c r="U31" s="20" t="str">
        <f t="shared" si="3"/>
        <v>commercial_office</v>
      </c>
      <c r="V31" s="20" t="str">
        <f t="shared" si="4"/>
        <v>GreenemediumofficeSpace_Heating</v>
      </c>
      <c r="W31" s="20" t="str">
        <f t="shared" si="5"/>
        <v>Greenemediumoffice</v>
      </c>
      <c r="X31" s="20"/>
      <c r="Y31" s="20" t="s">
        <v>444</v>
      </c>
      <c r="Z31" s="20" t="s">
        <v>446</v>
      </c>
    </row>
    <row r="32" spans="1:28">
      <c r="A32" s="20" t="str">
        <f t="shared" si="0"/>
        <v>Montgomeryprimaryschool</v>
      </c>
      <c r="B32" s="20" t="s">
        <v>10</v>
      </c>
      <c r="C32" s="20" t="s">
        <v>444</v>
      </c>
      <c r="D32" s="21">
        <f ca="1">OFFSET('Replica Building Area'!$A$1,MATCH(B32,'Replica Building Area'!$A$1:$A$4,0)-1,MATCH(_xlfn.CONCAT("building_area_",C32),'Replica Building Area'!$A$1:$T$1,0)-1)</f>
        <v>31099511</v>
      </c>
      <c r="I32" s="20" t="str">
        <f t="shared" si="1"/>
        <v>primaryschool</v>
      </c>
      <c r="K32" s="20" t="s">
        <v>367</v>
      </c>
      <c r="L32" s="20" t="s">
        <v>434</v>
      </c>
      <c r="M32" s="20" t="s">
        <v>445</v>
      </c>
      <c r="N32" s="20">
        <v>0</v>
      </c>
      <c r="O32" s="20">
        <v>0</v>
      </c>
      <c r="P32" s="20">
        <v>0</v>
      </c>
      <c r="Q32" s="20">
        <v>572955.18999999994</v>
      </c>
      <c r="R32" s="20">
        <v>0</v>
      </c>
      <c r="S32" s="20">
        <v>0</v>
      </c>
      <c r="T32" s="20">
        <f t="shared" si="2"/>
        <v>572955.18999999994</v>
      </c>
      <c r="U32" s="20" t="str">
        <f t="shared" si="3"/>
        <v>commercial_office</v>
      </c>
      <c r="V32" s="20" t="str">
        <f t="shared" si="4"/>
        <v>GreenemediumofficeWater_Heating</v>
      </c>
      <c r="W32" s="20" t="str">
        <f t="shared" si="5"/>
        <v>Greenemediumoffice</v>
      </c>
      <c r="X32" s="20"/>
      <c r="Y32" s="20" t="s">
        <v>448</v>
      </c>
      <c r="Z32" s="20" t="s">
        <v>434</v>
      </c>
    </row>
    <row r="33" spans="1:26">
      <c r="A33" s="20" t="str">
        <f t="shared" si="0"/>
        <v>Montgomerymediumoffice</v>
      </c>
      <c r="B33" s="20" t="s">
        <v>10</v>
      </c>
      <c r="C33" s="20" t="s">
        <v>448</v>
      </c>
      <c r="D33" s="21">
        <f ca="1">OFFSET('Replica Building Area'!$A$1,MATCH(B33,'Replica Building Area'!$A$1:$A$4,0)-1,MATCH(_xlfn.CONCAT("building_area_",C33),'Replica Building Area'!$A$1:$T$1,0)-1)</f>
        <v>19784344</v>
      </c>
      <c r="I33" s="20" t="str">
        <f t="shared" si="1"/>
        <v>mediumoffice</v>
      </c>
      <c r="K33" s="20" t="s">
        <v>367</v>
      </c>
      <c r="L33" s="20" t="s">
        <v>461</v>
      </c>
      <c r="M33" s="20" t="s">
        <v>429</v>
      </c>
      <c r="N33" s="20">
        <v>0</v>
      </c>
      <c r="O33" s="20">
        <v>0</v>
      </c>
      <c r="P33" s="20">
        <v>15332944.970000001</v>
      </c>
      <c r="Q33" s="20">
        <v>2566052.8199999998</v>
      </c>
      <c r="R33" s="20">
        <v>0</v>
      </c>
      <c r="S33" s="20">
        <v>0</v>
      </c>
      <c r="T33" s="20">
        <f t="shared" si="2"/>
        <v>17898997.789999999</v>
      </c>
      <c r="U33" s="20" t="str">
        <f t="shared" si="3"/>
        <v/>
      </c>
      <c r="V33" s="20" t="str">
        <f t="shared" si="4"/>
        <v>GreeneoutpatientAux_Equip</v>
      </c>
      <c r="W33" s="20" t="str">
        <f t="shared" si="5"/>
        <v>Greeneoutpatient</v>
      </c>
      <c r="X33" s="20"/>
      <c r="Y33" s="20" t="s">
        <v>451</v>
      </c>
      <c r="Z33" s="20" t="s">
        <v>452</v>
      </c>
    </row>
    <row r="34" spans="1:26">
      <c r="A34" s="20" t="str">
        <f t="shared" si="0"/>
        <v>Montgomerywarehouse</v>
      </c>
      <c r="B34" s="20" t="s">
        <v>10</v>
      </c>
      <c r="C34" s="20" t="s">
        <v>451</v>
      </c>
      <c r="D34" s="21">
        <f ca="1">OFFSET('Replica Building Area'!$A$1,MATCH(B34,'Replica Building Area'!$A$1:$A$4,0)-1,MATCH(_xlfn.CONCAT("building_area_",C34),'Replica Building Area'!$A$1:$T$1,0)-1)</f>
        <v>6332746</v>
      </c>
      <c r="I34" s="20" t="str">
        <f t="shared" si="1"/>
        <v>warehouse</v>
      </c>
      <c r="K34" s="20" t="s">
        <v>367</v>
      </c>
      <c r="L34" s="20" t="s">
        <v>461</v>
      </c>
      <c r="M34" s="20" t="s">
        <v>433</v>
      </c>
      <c r="N34" s="20">
        <v>0</v>
      </c>
      <c r="O34" s="20">
        <v>0</v>
      </c>
      <c r="P34" s="20">
        <v>6467425.6299999999</v>
      </c>
      <c r="Q34" s="20">
        <v>0</v>
      </c>
      <c r="R34" s="20">
        <v>0</v>
      </c>
      <c r="S34" s="20">
        <v>0</v>
      </c>
      <c r="T34" s="20">
        <f t="shared" si="2"/>
        <v>6467425.6299999999</v>
      </c>
      <c r="U34" s="20" t="str">
        <f t="shared" si="3"/>
        <v/>
      </c>
      <c r="V34" s="20" t="str">
        <f t="shared" si="4"/>
        <v>GreeneoutpatientAux_Motors</v>
      </c>
      <c r="W34" s="20" t="str">
        <f t="shared" si="5"/>
        <v>Greeneoutpatient</v>
      </c>
      <c r="X34" s="20"/>
      <c r="Y34" s="20" t="s">
        <v>453</v>
      </c>
    </row>
    <row r="35" spans="1:26">
      <c r="A35" s="20" t="str">
        <f t="shared" si="0"/>
        <v>Montgomerywarehouse</v>
      </c>
      <c r="B35" s="20" t="s">
        <v>10</v>
      </c>
      <c r="C35" s="20" t="s">
        <v>453</v>
      </c>
      <c r="D35" s="21">
        <f ca="1">OFFSET('Replica Building Area'!$A$1,MATCH(B35,'Replica Building Area'!$A$1:$A$4,0)-1,MATCH(_xlfn.CONCAT("building_area_",C35),'Replica Building Area'!$A$1:$T$1,0)-1)</f>
        <v>6689518</v>
      </c>
      <c r="I35" s="20" t="str">
        <f t="shared" si="1"/>
        <v>warehouse</v>
      </c>
      <c r="K35" s="20" t="s">
        <v>367</v>
      </c>
      <c r="L35" s="20" t="s">
        <v>461</v>
      </c>
      <c r="M35" s="20" t="s">
        <v>437</v>
      </c>
      <c r="N35" s="20">
        <v>0</v>
      </c>
      <c r="O35" s="20">
        <v>0</v>
      </c>
      <c r="P35" s="20">
        <v>7220820.1900000004</v>
      </c>
      <c r="Q35" s="20">
        <v>0</v>
      </c>
      <c r="R35" s="20">
        <v>0</v>
      </c>
      <c r="S35" s="20">
        <v>0</v>
      </c>
      <c r="T35" s="20">
        <f t="shared" si="2"/>
        <v>7220820.1900000004</v>
      </c>
      <c r="U35" s="20" t="str">
        <f t="shared" si="3"/>
        <v/>
      </c>
      <c r="V35" s="20" t="str">
        <f t="shared" si="4"/>
        <v>GreeneoutpatientLighting</v>
      </c>
      <c r="W35" s="20" t="str">
        <f t="shared" si="5"/>
        <v>Greeneoutpatient</v>
      </c>
      <c r="X35" s="20"/>
      <c r="Y35" s="20" t="s">
        <v>455</v>
      </c>
      <c r="Z35" s="20" t="s">
        <v>452</v>
      </c>
    </row>
    <row r="36" spans="1:26">
      <c r="A36" s="20" t="str">
        <f t="shared" si="0"/>
        <v>Montgomerywarehouse</v>
      </c>
      <c r="B36" s="20" t="s">
        <v>10</v>
      </c>
      <c r="C36" s="20" t="s">
        <v>455</v>
      </c>
      <c r="D36" s="21">
        <f ca="1">OFFSET('Replica Building Area'!$A$1,MATCH(B36,'Replica Building Area'!$A$1:$A$4,0)-1,MATCH(_xlfn.CONCAT("building_area_",C36),'Replica Building Area'!$A$1:$T$1,0)-1)</f>
        <v>6200020</v>
      </c>
      <c r="I36" s="20" t="str">
        <f t="shared" si="1"/>
        <v>warehouse</v>
      </c>
      <c r="K36" s="20" t="s">
        <v>367</v>
      </c>
      <c r="L36" s="20" t="s">
        <v>461</v>
      </c>
      <c r="M36" s="20" t="s">
        <v>440</v>
      </c>
      <c r="N36" s="20">
        <v>0</v>
      </c>
      <c r="O36" s="20">
        <v>0</v>
      </c>
      <c r="P36" s="20">
        <v>4579898.78</v>
      </c>
      <c r="Q36" s="20">
        <v>0</v>
      </c>
      <c r="R36" s="20">
        <v>0</v>
      </c>
      <c r="S36" s="20">
        <v>0</v>
      </c>
      <c r="T36" s="20">
        <f t="shared" si="2"/>
        <v>4579898.78</v>
      </c>
      <c r="U36" s="20" t="str">
        <f t="shared" si="3"/>
        <v/>
      </c>
      <c r="V36" s="20" t="str">
        <f t="shared" si="4"/>
        <v>GreeneoutpatientSpace_Cooling</v>
      </c>
      <c r="W36" s="20" t="str">
        <f t="shared" si="5"/>
        <v>Greeneoutpatient</v>
      </c>
      <c r="X36" s="20"/>
      <c r="Y36" s="20" t="s">
        <v>288</v>
      </c>
      <c r="Z36" s="20" t="s">
        <v>428</v>
      </c>
    </row>
    <row r="37" spans="1:26">
      <c r="A37" s="20" t="str">
        <f t="shared" si="0"/>
        <v>Montgomeryfullservicerestaurant</v>
      </c>
      <c r="B37" s="20" t="s">
        <v>10</v>
      </c>
      <c r="C37" s="20" t="s">
        <v>288</v>
      </c>
      <c r="D37" s="21">
        <f ca="1">OFFSET('Replica Building Area'!$A$1,MATCH(B37,'Replica Building Area'!$A$1:$A$4,0)-1,MATCH(_xlfn.CONCAT("building_area_",C37),'Replica Building Area'!$A$1:$T$1,0)-1)</f>
        <v>5246076</v>
      </c>
      <c r="I37" s="20" t="str">
        <f t="shared" si="1"/>
        <v>fullservicerestaurant</v>
      </c>
      <c r="K37" s="20" t="s">
        <v>367</v>
      </c>
      <c r="L37" s="20" t="s">
        <v>461</v>
      </c>
      <c r="M37" s="20" t="s">
        <v>443</v>
      </c>
      <c r="N37" s="20">
        <v>0</v>
      </c>
      <c r="O37" s="20">
        <v>0</v>
      </c>
      <c r="P37" s="20">
        <v>0</v>
      </c>
      <c r="Q37" s="20">
        <v>7597197.5700000003</v>
      </c>
      <c r="R37" s="20">
        <v>1023536.94</v>
      </c>
      <c r="S37" s="20">
        <v>0</v>
      </c>
      <c r="T37" s="20">
        <f t="shared" si="2"/>
        <v>8620734.5099999998</v>
      </c>
      <c r="U37" s="20" t="str">
        <f t="shared" si="3"/>
        <v/>
      </c>
      <c r="V37" s="20" t="str">
        <f t="shared" si="4"/>
        <v>GreeneoutpatientSpace_Heating</v>
      </c>
      <c r="W37" s="20" t="str">
        <f t="shared" si="5"/>
        <v>Greeneoutpatient</v>
      </c>
      <c r="X37" s="20"/>
      <c r="Y37" s="20" t="s">
        <v>456</v>
      </c>
      <c r="Z37" s="20" t="s">
        <v>457</v>
      </c>
    </row>
    <row r="38" spans="1:26">
      <c r="A38" s="20" t="str">
        <f t="shared" si="0"/>
        <v>Montgomeryquickservicerestaurant</v>
      </c>
      <c r="B38" s="20" t="s">
        <v>10</v>
      </c>
      <c r="C38" s="20" t="s">
        <v>456</v>
      </c>
      <c r="D38" s="21">
        <f ca="1">OFFSET('Replica Building Area'!$A$1,MATCH(B38,'Replica Building Area'!$A$1:$A$4,0)-1,MATCH(_xlfn.CONCAT("building_area_",C38),'Replica Building Area'!$A$1:$T$1,0)-1)</f>
        <v>617494</v>
      </c>
      <c r="I38" s="20" t="str">
        <f t="shared" si="1"/>
        <v>quickservicerestaurant</v>
      </c>
      <c r="K38" s="20" t="s">
        <v>367</v>
      </c>
      <c r="L38" s="20" t="s">
        <v>461</v>
      </c>
      <c r="M38" s="20" t="s">
        <v>445</v>
      </c>
      <c r="N38" s="20">
        <v>0</v>
      </c>
      <c r="O38" s="20">
        <v>0</v>
      </c>
      <c r="P38" s="20">
        <v>370668.24</v>
      </c>
      <c r="Q38" s="20">
        <v>1140021.54</v>
      </c>
      <c r="R38" s="20">
        <v>0</v>
      </c>
      <c r="S38" s="20">
        <v>0</v>
      </c>
      <c r="T38" s="20">
        <f t="shared" si="2"/>
        <v>1510689.78</v>
      </c>
      <c r="U38" s="20" t="str">
        <f t="shared" si="3"/>
        <v/>
      </c>
      <c r="V38" s="20" t="str">
        <f t="shared" si="4"/>
        <v>GreeneoutpatientWater_Heating</v>
      </c>
      <c r="W38" s="20" t="str">
        <f t="shared" si="5"/>
        <v>Greeneoutpatient</v>
      </c>
    </row>
    <row r="39" spans="1:26">
      <c r="K39" s="20" t="s">
        <v>367</v>
      </c>
      <c r="L39" s="20" t="s">
        <v>446</v>
      </c>
      <c r="M39" s="20" t="s">
        <v>429</v>
      </c>
      <c r="N39" s="20">
        <v>0</v>
      </c>
      <c r="O39" s="20">
        <v>0</v>
      </c>
      <c r="P39" s="20">
        <v>1947914.36</v>
      </c>
      <c r="Q39" s="20">
        <v>2313471.6</v>
      </c>
      <c r="R39" s="20">
        <v>0</v>
      </c>
      <c r="S39" s="20">
        <v>0</v>
      </c>
      <c r="T39" s="20">
        <f t="shared" si="2"/>
        <v>4261385.96</v>
      </c>
      <c r="U39" s="20" t="str">
        <f t="shared" si="3"/>
        <v>civic_education</v>
      </c>
      <c r="V39" s="20" t="str">
        <f t="shared" si="4"/>
        <v>GreeneprimaryschoolAux_Equip</v>
      </c>
      <c r="W39" s="20" t="str">
        <f t="shared" si="5"/>
        <v>Greeneprimaryschool</v>
      </c>
    </row>
    <row r="40" spans="1:26">
      <c r="K40" s="20" t="s">
        <v>367</v>
      </c>
      <c r="L40" s="20" t="s">
        <v>446</v>
      </c>
      <c r="M40" s="20" t="s">
        <v>433</v>
      </c>
      <c r="N40" s="20">
        <v>0</v>
      </c>
      <c r="O40" s="20">
        <v>0</v>
      </c>
      <c r="P40" s="20">
        <v>6549509.4199999999</v>
      </c>
      <c r="Q40" s="20">
        <v>0</v>
      </c>
      <c r="R40" s="20">
        <v>0</v>
      </c>
      <c r="S40" s="20">
        <v>0</v>
      </c>
      <c r="T40" s="20">
        <f t="shared" si="2"/>
        <v>6549509.4199999999</v>
      </c>
      <c r="U40" s="20" t="str">
        <f t="shared" si="3"/>
        <v>civic_education</v>
      </c>
      <c r="V40" s="20" t="str">
        <f t="shared" si="4"/>
        <v>GreeneprimaryschoolAux_Motors</v>
      </c>
      <c r="W40" s="20" t="str">
        <f t="shared" si="5"/>
        <v>Greeneprimaryschool</v>
      </c>
    </row>
    <row r="41" spans="1:26">
      <c r="K41" s="20" t="s">
        <v>367</v>
      </c>
      <c r="L41" s="20" t="s">
        <v>446</v>
      </c>
      <c r="M41" s="20" t="s">
        <v>437</v>
      </c>
      <c r="N41" s="20">
        <v>0</v>
      </c>
      <c r="O41" s="20">
        <v>0</v>
      </c>
      <c r="P41" s="20">
        <v>6369916</v>
      </c>
      <c r="Q41" s="20">
        <v>0</v>
      </c>
      <c r="R41" s="20">
        <v>0</v>
      </c>
      <c r="S41" s="20">
        <v>0</v>
      </c>
      <c r="T41" s="20">
        <f t="shared" si="2"/>
        <v>6369916</v>
      </c>
      <c r="U41" s="20" t="str">
        <f t="shared" si="3"/>
        <v>civic_education</v>
      </c>
      <c r="V41" s="20" t="str">
        <f t="shared" si="4"/>
        <v>GreeneprimaryschoolLighting</v>
      </c>
      <c r="W41" s="20" t="str">
        <f t="shared" si="5"/>
        <v>Greeneprimaryschool</v>
      </c>
    </row>
    <row r="42" spans="1:26">
      <c r="C42" s="21"/>
      <c r="F42" s="21"/>
      <c r="I42" s="21"/>
      <c r="K42" s="20" t="s">
        <v>367</v>
      </c>
      <c r="L42" s="20" t="s">
        <v>446</v>
      </c>
      <c r="M42" s="20" t="s">
        <v>440</v>
      </c>
      <c r="N42" s="20">
        <v>0</v>
      </c>
      <c r="O42" s="20">
        <v>0</v>
      </c>
      <c r="P42" s="20">
        <v>3009004.05</v>
      </c>
      <c r="Q42" s="20">
        <v>0</v>
      </c>
      <c r="R42" s="20">
        <v>0</v>
      </c>
      <c r="S42" s="20">
        <v>0</v>
      </c>
      <c r="T42" s="20">
        <f t="shared" si="2"/>
        <v>3009004.05</v>
      </c>
      <c r="U42" s="20" t="str">
        <f t="shared" si="3"/>
        <v>civic_education</v>
      </c>
      <c r="V42" s="20" t="str">
        <f t="shared" si="4"/>
        <v>GreeneprimaryschoolSpace_Cooling</v>
      </c>
      <c r="W42" s="20" t="str">
        <f t="shared" si="5"/>
        <v>Greeneprimaryschool</v>
      </c>
    </row>
    <row r="43" spans="1:26">
      <c r="C43" s="21"/>
      <c r="F43" s="21"/>
      <c r="I43" s="21"/>
      <c r="K43" s="20" t="s">
        <v>367</v>
      </c>
      <c r="L43" s="20" t="s">
        <v>446</v>
      </c>
      <c r="M43" s="20" t="s">
        <v>443</v>
      </c>
      <c r="N43" s="20">
        <v>0</v>
      </c>
      <c r="O43" s="20">
        <v>0</v>
      </c>
      <c r="P43" s="20">
        <v>0</v>
      </c>
      <c r="Q43" s="20">
        <v>25418729.890000001</v>
      </c>
      <c r="R43" s="20">
        <v>0</v>
      </c>
      <c r="S43" s="20">
        <v>0</v>
      </c>
      <c r="T43" s="20">
        <f t="shared" si="2"/>
        <v>25418729.890000001</v>
      </c>
      <c r="U43" s="20" t="str">
        <f t="shared" si="3"/>
        <v>civic_education</v>
      </c>
      <c r="V43" s="20" t="str">
        <f t="shared" si="4"/>
        <v>GreeneprimaryschoolSpace_Heating</v>
      </c>
      <c r="W43" s="20" t="str">
        <f t="shared" si="5"/>
        <v>Greeneprimaryschool</v>
      </c>
    </row>
    <row r="44" spans="1:26">
      <c r="C44" s="21"/>
      <c r="F44" s="21"/>
      <c r="I44" s="21"/>
      <c r="K44" s="20" t="s">
        <v>367</v>
      </c>
      <c r="L44" s="20" t="s">
        <v>446</v>
      </c>
      <c r="M44" s="20" t="s">
        <v>445</v>
      </c>
      <c r="N44" s="20">
        <v>0</v>
      </c>
      <c r="O44" s="20">
        <v>0</v>
      </c>
      <c r="P44" s="20">
        <v>1011112.05</v>
      </c>
      <c r="Q44" s="20">
        <v>2233577.5099999998</v>
      </c>
      <c r="R44" s="20">
        <v>0</v>
      </c>
      <c r="S44" s="20">
        <v>0</v>
      </c>
      <c r="T44" s="20">
        <f t="shared" si="2"/>
        <v>3244689.5599999996</v>
      </c>
      <c r="U44" s="20" t="str">
        <f t="shared" si="3"/>
        <v>civic_education</v>
      </c>
      <c r="V44" s="20" t="str">
        <f t="shared" si="4"/>
        <v>GreeneprimaryschoolWater_Heating</v>
      </c>
      <c r="W44" s="20" t="str">
        <f t="shared" si="5"/>
        <v>Greeneprimaryschool</v>
      </c>
    </row>
    <row r="45" spans="1:26">
      <c r="C45" s="21"/>
      <c r="F45" s="21"/>
      <c r="I45" s="21"/>
      <c r="K45" s="20" t="s">
        <v>367</v>
      </c>
      <c r="L45" s="20" t="s">
        <v>457</v>
      </c>
      <c r="M45" s="20" t="s">
        <v>429</v>
      </c>
      <c r="N45" s="20">
        <v>0</v>
      </c>
      <c r="O45" s="20">
        <v>0</v>
      </c>
      <c r="P45" s="20">
        <v>3506110.26</v>
      </c>
      <c r="Q45" s="20">
        <v>15778821.74</v>
      </c>
      <c r="R45" s="20">
        <v>0</v>
      </c>
      <c r="S45" s="20">
        <v>0</v>
      </c>
      <c r="T45" s="20">
        <f t="shared" si="2"/>
        <v>19284932</v>
      </c>
      <c r="U45" s="20" t="str">
        <f t="shared" si="3"/>
        <v>unknown</v>
      </c>
      <c r="V45" s="20" t="str">
        <f t="shared" si="4"/>
        <v>GreenequickservicerestaurantAux_Equip</v>
      </c>
      <c r="W45" s="20" t="str">
        <f t="shared" si="5"/>
        <v>Greenequickservicerestaurant</v>
      </c>
    </row>
    <row r="46" spans="1:26">
      <c r="C46" s="21"/>
      <c r="F46" s="21"/>
      <c r="I46" s="21"/>
      <c r="K46" s="20" t="s">
        <v>367</v>
      </c>
      <c r="L46" s="20" t="s">
        <v>457</v>
      </c>
      <c r="M46" s="20" t="s">
        <v>433</v>
      </c>
      <c r="N46" s="20">
        <v>0</v>
      </c>
      <c r="O46" s="20">
        <v>0</v>
      </c>
      <c r="P46" s="20">
        <v>3598604.12</v>
      </c>
      <c r="Q46" s="20">
        <v>0</v>
      </c>
      <c r="R46" s="20">
        <v>0</v>
      </c>
      <c r="S46" s="20">
        <v>0</v>
      </c>
      <c r="T46" s="20">
        <f t="shared" si="2"/>
        <v>3598604.12</v>
      </c>
      <c r="U46" s="20" t="str">
        <f t="shared" si="3"/>
        <v>unknown</v>
      </c>
      <c r="V46" s="20" t="str">
        <f t="shared" si="4"/>
        <v>GreenequickservicerestaurantAux_Motors</v>
      </c>
      <c r="W46" s="20" t="str">
        <f t="shared" si="5"/>
        <v>Greenequickservicerestaurant</v>
      </c>
    </row>
    <row r="47" spans="1:26">
      <c r="C47" s="21"/>
      <c r="F47" s="21"/>
      <c r="I47" s="21"/>
      <c r="K47" s="20" t="s">
        <v>367</v>
      </c>
      <c r="L47" s="20" t="s">
        <v>457</v>
      </c>
      <c r="M47" s="20" t="s">
        <v>437</v>
      </c>
      <c r="N47" s="20">
        <v>0</v>
      </c>
      <c r="O47" s="20">
        <v>0</v>
      </c>
      <c r="P47" s="20">
        <v>1917803.29</v>
      </c>
      <c r="Q47" s="20">
        <v>0</v>
      </c>
      <c r="R47" s="20">
        <v>0</v>
      </c>
      <c r="S47" s="20">
        <v>0</v>
      </c>
      <c r="T47" s="20">
        <f t="shared" si="2"/>
        <v>1917803.29</v>
      </c>
      <c r="U47" s="20" t="str">
        <f t="shared" si="3"/>
        <v>unknown</v>
      </c>
      <c r="V47" s="20" t="str">
        <f t="shared" si="4"/>
        <v>GreenequickservicerestaurantLighting</v>
      </c>
      <c r="W47" s="20" t="str">
        <f t="shared" si="5"/>
        <v>Greenequickservicerestaurant</v>
      </c>
    </row>
    <row r="48" spans="1:26">
      <c r="C48" s="21"/>
      <c r="F48" s="21"/>
      <c r="I48" s="21"/>
      <c r="K48" s="20" t="s">
        <v>367</v>
      </c>
      <c r="L48" s="20" t="s">
        <v>457</v>
      </c>
      <c r="M48" s="20" t="s">
        <v>440</v>
      </c>
      <c r="N48" s="20">
        <v>0</v>
      </c>
      <c r="O48" s="20">
        <v>0</v>
      </c>
      <c r="P48" s="20">
        <v>1317659.3999999999</v>
      </c>
      <c r="Q48" s="20">
        <v>0</v>
      </c>
      <c r="R48" s="20">
        <v>0</v>
      </c>
      <c r="S48" s="20">
        <v>0</v>
      </c>
      <c r="T48" s="20">
        <f t="shared" si="2"/>
        <v>1317659.3999999999</v>
      </c>
      <c r="U48" s="20" t="str">
        <f t="shared" si="3"/>
        <v>unknown</v>
      </c>
      <c r="V48" s="20" t="str">
        <f t="shared" si="4"/>
        <v>GreenequickservicerestaurantSpace_Cooling</v>
      </c>
      <c r="W48" s="20" t="str">
        <f t="shared" si="5"/>
        <v>Greenequickservicerestaurant</v>
      </c>
    </row>
    <row r="49" spans="4:23">
      <c r="D49" s="21"/>
      <c r="E49" s="21"/>
      <c r="F49" s="21"/>
      <c r="I49" s="21"/>
      <c r="K49" s="20" t="s">
        <v>367</v>
      </c>
      <c r="L49" s="20" t="s">
        <v>457</v>
      </c>
      <c r="M49" s="20" t="s">
        <v>443</v>
      </c>
      <c r="N49" s="20">
        <v>0</v>
      </c>
      <c r="O49" s="20">
        <v>0</v>
      </c>
      <c r="P49" s="20">
        <v>901157.44</v>
      </c>
      <c r="Q49" s="20">
        <v>7225087.96</v>
      </c>
      <c r="R49" s="20">
        <v>0</v>
      </c>
      <c r="S49" s="20">
        <v>0</v>
      </c>
      <c r="T49" s="20">
        <f t="shared" si="2"/>
        <v>8126245.4000000004</v>
      </c>
      <c r="U49" s="20" t="str">
        <f t="shared" si="3"/>
        <v>unknown</v>
      </c>
      <c r="V49" s="20" t="str">
        <f t="shared" si="4"/>
        <v>GreenequickservicerestaurantSpace_Heating</v>
      </c>
      <c r="W49" s="20" t="str">
        <f t="shared" si="5"/>
        <v>Greenequickservicerestaurant</v>
      </c>
    </row>
    <row r="50" spans="4:23">
      <c r="D50" s="21"/>
      <c r="E50" s="21"/>
      <c r="F50" s="21"/>
      <c r="I50" s="21"/>
      <c r="K50" s="20" t="s">
        <v>367</v>
      </c>
      <c r="L50" s="20" t="s">
        <v>457</v>
      </c>
      <c r="M50" s="20" t="s">
        <v>445</v>
      </c>
      <c r="N50" s="20">
        <v>0</v>
      </c>
      <c r="O50" s="20">
        <v>0</v>
      </c>
      <c r="P50" s="20">
        <v>164252.71</v>
      </c>
      <c r="Q50" s="20">
        <v>2192147.9500000002</v>
      </c>
      <c r="R50" s="20">
        <v>0</v>
      </c>
      <c r="S50" s="20">
        <v>0</v>
      </c>
      <c r="T50" s="20">
        <f t="shared" si="2"/>
        <v>2356400.66</v>
      </c>
      <c r="U50" s="20" t="str">
        <f t="shared" si="3"/>
        <v>unknown</v>
      </c>
      <c r="V50" s="20" t="str">
        <f t="shared" si="4"/>
        <v>GreenequickservicerestaurantWater_Heating</v>
      </c>
      <c r="W50" s="20" t="str">
        <f t="shared" si="5"/>
        <v>Greenequickservicerestaurant</v>
      </c>
    </row>
    <row r="51" spans="4:23">
      <c r="D51" s="21"/>
      <c r="E51" s="21"/>
      <c r="F51" s="21"/>
      <c r="I51" s="21"/>
      <c r="K51" s="20" t="s">
        <v>367</v>
      </c>
      <c r="L51" s="20" t="s">
        <v>430</v>
      </c>
      <c r="M51" s="20" t="s">
        <v>429</v>
      </c>
      <c r="N51" s="20">
        <v>0</v>
      </c>
      <c r="O51" s="20">
        <v>0</v>
      </c>
      <c r="P51" s="20">
        <v>3838542.95</v>
      </c>
      <c r="Q51" s="20">
        <v>0</v>
      </c>
      <c r="R51" s="20">
        <v>0</v>
      </c>
      <c r="S51" s="20">
        <v>0</v>
      </c>
      <c r="T51" s="20">
        <f t="shared" si="2"/>
        <v>3838542.95</v>
      </c>
      <c r="U51" s="20" t="str">
        <f t="shared" si="3"/>
        <v>commercial_retail</v>
      </c>
      <c r="V51" s="20" t="str">
        <f t="shared" si="4"/>
        <v>GreeneretailstandaloneAux_Equip</v>
      </c>
      <c r="W51" s="20" t="str">
        <f t="shared" si="5"/>
        <v>Greeneretailstandalone</v>
      </c>
    </row>
    <row r="52" spans="4:23">
      <c r="D52" s="21"/>
      <c r="E52" s="21"/>
      <c r="F52" s="21"/>
      <c r="I52" s="21"/>
      <c r="K52" s="20" t="s">
        <v>367</v>
      </c>
      <c r="L52" s="20" t="s">
        <v>430</v>
      </c>
      <c r="M52" s="20" t="s">
        <v>433</v>
      </c>
      <c r="N52" s="20">
        <v>0</v>
      </c>
      <c r="O52" s="20">
        <v>0</v>
      </c>
      <c r="P52" s="20">
        <v>5920479.9199999999</v>
      </c>
      <c r="Q52" s="20">
        <v>0</v>
      </c>
      <c r="R52" s="20">
        <v>0</v>
      </c>
      <c r="S52" s="20">
        <v>0</v>
      </c>
      <c r="T52" s="20">
        <f t="shared" si="2"/>
        <v>5920479.9199999999</v>
      </c>
      <c r="U52" s="20" t="str">
        <f t="shared" si="3"/>
        <v>commercial_retail</v>
      </c>
      <c r="V52" s="20" t="str">
        <f t="shared" si="4"/>
        <v>GreeneretailstandaloneAux_Motors</v>
      </c>
      <c r="W52" s="20" t="str">
        <f t="shared" si="5"/>
        <v>Greeneretailstandalone</v>
      </c>
    </row>
    <row r="53" spans="4:23">
      <c r="D53" s="21"/>
      <c r="E53" s="21"/>
      <c r="F53" s="21"/>
      <c r="K53" s="20" t="s">
        <v>367</v>
      </c>
      <c r="L53" s="20" t="s">
        <v>430</v>
      </c>
      <c r="M53" s="20" t="s">
        <v>437</v>
      </c>
      <c r="N53" s="20">
        <v>0</v>
      </c>
      <c r="O53" s="20">
        <v>0</v>
      </c>
      <c r="P53" s="20">
        <v>18294336.32</v>
      </c>
      <c r="Q53" s="20">
        <v>0</v>
      </c>
      <c r="R53" s="20">
        <v>0</v>
      </c>
      <c r="S53" s="20">
        <v>0</v>
      </c>
      <c r="T53" s="20">
        <f t="shared" si="2"/>
        <v>18294336.32</v>
      </c>
      <c r="U53" s="20" t="str">
        <f t="shared" si="3"/>
        <v>commercial_retail</v>
      </c>
      <c r="V53" s="20" t="str">
        <f t="shared" si="4"/>
        <v>GreeneretailstandaloneLighting</v>
      </c>
      <c r="W53" s="20" t="str">
        <f t="shared" si="5"/>
        <v>Greeneretailstandalone</v>
      </c>
    </row>
    <row r="54" spans="4:23">
      <c r="D54" s="21"/>
      <c r="E54" s="21"/>
      <c r="F54" s="21"/>
      <c r="K54" s="20" t="s">
        <v>367</v>
      </c>
      <c r="L54" s="20" t="s">
        <v>430</v>
      </c>
      <c r="M54" s="20" t="s">
        <v>440</v>
      </c>
      <c r="N54" s="20">
        <v>0</v>
      </c>
      <c r="O54" s="20">
        <v>0</v>
      </c>
      <c r="P54" s="20">
        <v>3044713.59</v>
      </c>
      <c r="Q54" s="20">
        <v>0</v>
      </c>
      <c r="R54" s="20">
        <v>0</v>
      </c>
      <c r="S54" s="20">
        <v>0</v>
      </c>
      <c r="T54" s="20">
        <f t="shared" si="2"/>
        <v>3044713.59</v>
      </c>
      <c r="U54" s="20" t="str">
        <f t="shared" si="3"/>
        <v>commercial_retail</v>
      </c>
      <c r="V54" s="20" t="str">
        <f t="shared" si="4"/>
        <v>GreeneretailstandaloneSpace_Cooling</v>
      </c>
      <c r="W54" s="20" t="str">
        <f t="shared" si="5"/>
        <v>Greeneretailstandalone</v>
      </c>
    </row>
    <row r="55" spans="4:23">
      <c r="D55" s="21"/>
      <c r="E55" s="21"/>
      <c r="F55" s="21"/>
      <c r="K55" s="20" t="s">
        <v>367</v>
      </c>
      <c r="L55" s="20" t="s">
        <v>430</v>
      </c>
      <c r="M55" s="20" t="s">
        <v>443</v>
      </c>
      <c r="N55" s="20">
        <v>0</v>
      </c>
      <c r="O55" s="20">
        <v>0</v>
      </c>
      <c r="P55" s="20">
        <v>2215030.79</v>
      </c>
      <c r="Q55" s="20">
        <v>19052693.739999998</v>
      </c>
      <c r="R55" s="20">
        <v>689908.71</v>
      </c>
      <c r="S55" s="20">
        <v>0</v>
      </c>
      <c r="T55" s="20">
        <f t="shared" si="2"/>
        <v>21957633.239999998</v>
      </c>
      <c r="U55" s="20" t="str">
        <f t="shared" si="3"/>
        <v>commercial_retail</v>
      </c>
      <c r="V55" s="20" t="str">
        <f t="shared" si="4"/>
        <v>GreeneretailstandaloneSpace_Heating</v>
      </c>
      <c r="W55" s="20" t="str">
        <f t="shared" si="5"/>
        <v>Greeneretailstandalone</v>
      </c>
    </row>
    <row r="56" spans="4:23">
      <c r="D56" s="21"/>
      <c r="E56" s="21"/>
      <c r="F56" s="21"/>
      <c r="K56" s="20" t="s">
        <v>367</v>
      </c>
      <c r="L56" s="20" t="s">
        <v>430</v>
      </c>
      <c r="M56" s="20" t="s">
        <v>445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f t="shared" si="2"/>
        <v>0</v>
      </c>
      <c r="U56" s="20" t="str">
        <f t="shared" si="3"/>
        <v>commercial_retail</v>
      </c>
      <c r="V56" s="20" t="str">
        <f t="shared" si="4"/>
        <v>GreeneretailstandaloneWater_Heating</v>
      </c>
      <c r="W56" s="20" t="str">
        <f t="shared" si="5"/>
        <v>Greeneretailstandalone</v>
      </c>
    </row>
    <row r="57" spans="4:23">
      <c r="D57" s="21"/>
      <c r="E57" s="21"/>
      <c r="F57" s="21"/>
      <c r="K57" s="20" t="s">
        <v>367</v>
      </c>
      <c r="L57" s="20" t="s">
        <v>462</v>
      </c>
      <c r="M57" s="20" t="s">
        <v>429</v>
      </c>
      <c r="N57" s="20">
        <v>0</v>
      </c>
      <c r="O57" s="20">
        <v>0</v>
      </c>
      <c r="P57" s="20">
        <v>17869206.699999999</v>
      </c>
      <c r="Q57" s="20">
        <v>29070354.059999999</v>
      </c>
      <c r="R57" s="20">
        <v>0</v>
      </c>
      <c r="S57" s="20">
        <v>0</v>
      </c>
      <c r="T57" s="20">
        <f t="shared" si="2"/>
        <v>46939560.759999998</v>
      </c>
      <c r="U57" s="20" t="str">
        <f t="shared" si="3"/>
        <v/>
      </c>
      <c r="V57" s="20" t="str">
        <f t="shared" si="4"/>
        <v>GreeneretailstripmallAux_Equip</v>
      </c>
      <c r="W57" s="20" t="str">
        <f t="shared" si="5"/>
        <v>Greeneretailstripmall</v>
      </c>
    </row>
    <row r="58" spans="4:23">
      <c r="D58" s="21"/>
      <c r="E58" s="21"/>
      <c r="F58" s="21"/>
      <c r="K58" s="20" t="s">
        <v>367</v>
      </c>
      <c r="L58" s="20" t="s">
        <v>462</v>
      </c>
      <c r="M58" s="20" t="s">
        <v>433</v>
      </c>
      <c r="N58" s="20">
        <v>0</v>
      </c>
      <c r="O58" s="20">
        <v>0</v>
      </c>
      <c r="P58" s="20">
        <v>14884282.73</v>
      </c>
      <c r="Q58" s="20">
        <v>0</v>
      </c>
      <c r="R58" s="20">
        <v>0</v>
      </c>
      <c r="S58" s="20">
        <v>0</v>
      </c>
      <c r="T58" s="20">
        <f t="shared" si="2"/>
        <v>14884282.73</v>
      </c>
      <c r="U58" s="20" t="str">
        <f t="shared" si="3"/>
        <v/>
      </c>
      <c r="V58" s="20" t="str">
        <f t="shared" si="4"/>
        <v>GreeneretailstripmallAux_Motors</v>
      </c>
      <c r="W58" s="20" t="str">
        <f t="shared" si="5"/>
        <v>Greeneretailstripmall</v>
      </c>
    </row>
    <row r="59" spans="4:23">
      <c r="D59" s="21"/>
      <c r="E59" s="21"/>
      <c r="F59" s="21"/>
      <c r="K59" s="20" t="s">
        <v>367</v>
      </c>
      <c r="L59" s="20" t="s">
        <v>462</v>
      </c>
      <c r="M59" s="20" t="s">
        <v>437</v>
      </c>
      <c r="N59" s="20">
        <v>0</v>
      </c>
      <c r="O59" s="20">
        <v>0</v>
      </c>
      <c r="P59" s="20">
        <v>28543974.940000001</v>
      </c>
      <c r="Q59" s="20">
        <v>0</v>
      </c>
      <c r="R59" s="20">
        <v>0</v>
      </c>
      <c r="S59" s="20">
        <v>0</v>
      </c>
      <c r="T59" s="20">
        <f t="shared" si="2"/>
        <v>28543974.940000001</v>
      </c>
      <c r="U59" s="20" t="str">
        <f t="shared" si="3"/>
        <v/>
      </c>
      <c r="V59" s="20" t="str">
        <f t="shared" si="4"/>
        <v>GreeneretailstripmallLighting</v>
      </c>
      <c r="W59" s="20" t="str">
        <f t="shared" si="5"/>
        <v>Greeneretailstripmall</v>
      </c>
    </row>
    <row r="60" spans="4:23">
      <c r="D60" s="21"/>
      <c r="E60" s="21"/>
      <c r="F60" s="21"/>
      <c r="K60" s="20" t="s">
        <v>367</v>
      </c>
      <c r="L60" s="20" t="s">
        <v>462</v>
      </c>
      <c r="M60" s="20" t="s">
        <v>440</v>
      </c>
      <c r="N60" s="20">
        <v>0</v>
      </c>
      <c r="O60" s="20">
        <v>0</v>
      </c>
      <c r="P60" s="20">
        <v>10531428.029999999</v>
      </c>
      <c r="Q60" s="20">
        <v>0</v>
      </c>
      <c r="R60" s="20">
        <v>0</v>
      </c>
      <c r="S60" s="20">
        <v>0</v>
      </c>
      <c r="T60" s="20">
        <f t="shared" si="2"/>
        <v>10531428.029999999</v>
      </c>
      <c r="U60" s="20" t="str">
        <f t="shared" si="3"/>
        <v/>
      </c>
      <c r="V60" s="20" t="str">
        <f t="shared" si="4"/>
        <v>GreeneretailstripmallSpace_Cooling</v>
      </c>
      <c r="W60" s="20" t="str">
        <f t="shared" si="5"/>
        <v>Greeneretailstripmall</v>
      </c>
    </row>
    <row r="61" spans="4:23">
      <c r="D61" s="21"/>
      <c r="E61" s="21"/>
      <c r="F61" s="21"/>
      <c r="K61" s="20" t="s">
        <v>367</v>
      </c>
      <c r="L61" s="20" t="s">
        <v>462</v>
      </c>
      <c r="M61" s="20" t="s">
        <v>443</v>
      </c>
      <c r="N61" s="20">
        <v>0</v>
      </c>
      <c r="O61" s="20">
        <v>0</v>
      </c>
      <c r="P61" s="20">
        <v>5171440.12</v>
      </c>
      <c r="Q61" s="20">
        <v>14644950.630000001</v>
      </c>
      <c r="R61" s="20">
        <v>4414117.5199999996</v>
      </c>
      <c r="S61" s="20">
        <v>0</v>
      </c>
      <c r="T61" s="20">
        <f t="shared" si="2"/>
        <v>24230508.27</v>
      </c>
      <c r="U61" s="20" t="str">
        <f t="shared" si="3"/>
        <v/>
      </c>
      <c r="V61" s="20" t="str">
        <f t="shared" si="4"/>
        <v>GreeneretailstripmallSpace_Heating</v>
      </c>
      <c r="W61" s="20" t="str">
        <f t="shared" si="5"/>
        <v>Greeneretailstripmall</v>
      </c>
    </row>
    <row r="62" spans="4:23">
      <c r="D62" s="21"/>
      <c r="E62" s="21"/>
      <c r="F62" s="21"/>
      <c r="K62" s="20" t="s">
        <v>367</v>
      </c>
      <c r="L62" s="20" t="s">
        <v>462</v>
      </c>
      <c r="M62" s="20" t="s">
        <v>445</v>
      </c>
      <c r="N62" s="20">
        <v>0</v>
      </c>
      <c r="O62" s="20">
        <v>0</v>
      </c>
      <c r="P62" s="20">
        <v>11111259.640000001</v>
      </c>
      <c r="Q62" s="20">
        <v>7977640.8099999996</v>
      </c>
      <c r="R62" s="20">
        <v>1032405.95</v>
      </c>
      <c r="S62" s="20">
        <v>0</v>
      </c>
      <c r="T62" s="20">
        <f t="shared" si="2"/>
        <v>20121306.399999999</v>
      </c>
      <c r="U62" s="20" t="str">
        <f t="shared" si="3"/>
        <v/>
      </c>
      <c r="V62" s="20" t="str">
        <f t="shared" si="4"/>
        <v>GreeneretailstripmallWater_Heating</v>
      </c>
      <c r="W62" s="20" t="str">
        <f t="shared" si="5"/>
        <v>Greeneretailstripmall</v>
      </c>
    </row>
    <row r="63" spans="4:23">
      <c r="D63" s="21"/>
      <c r="E63" s="21"/>
      <c r="F63" s="21"/>
      <c r="K63" s="20" t="s">
        <v>367</v>
      </c>
      <c r="L63" s="20" t="s">
        <v>463</v>
      </c>
      <c r="M63" s="20" t="s">
        <v>429</v>
      </c>
      <c r="N63" s="20">
        <v>0</v>
      </c>
      <c r="O63" s="20">
        <v>0</v>
      </c>
      <c r="P63" s="20">
        <v>1207070.45</v>
      </c>
      <c r="Q63" s="20">
        <v>846332.1</v>
      </c>
      <c r="R63" s="20">
        <v>0</v>
      </c>
      <c r="S63" s="20">
        <v>0</v>
      </c>
      <c r="T63" s="20">
        <f t="shared" si="2"/>
        <v>2053402.5499999998</v>
      </c>
      <c r="U63" s="20" t="str">
        <f t="shared" si="3"/>
        <v/>
      </c>
      <c r="V63" s="20" t="str">
        <f t="shared" si="4"/>
        <v>GreenesecondaryschoolAux_Equip</v>
      </c>
      <c r="W63" s="20" t="str">
        <f t="shared" si="5"/>
        <v>Greenesecondaryschool</v>
      </c>
    </row>
    <row r="64" spans="4:23">
      <c r="D64" s="21"/>
      <c r="E64" s="21"/>
      <c r="F64" s="21"/>
      <c r="K64" s="20" t="s">
        <v>367</v>
      </c>
      <c r="L64" s="20" t="s">
        <v>463</v>
      </c>
      <c r="M64" s="20" t="s">
        <v>433</v>
      </c>
      <c r="N64" s="20">
        <v>0</v>
      </c>
      <c r="O64" s="20">
        <v>0</v>
      </c>
      <c r="P64" s="20">
        <v>4140115.45</v>
      </c>
      <c r="Q64" s="20">
        <v>0</v>
      </c>
      <c r="R64" s="20">
        <v>0</v>
      </c>
      <c r="S64" s="20">
        <v>0</v>
      </c>
      <c r="T64" s="20">
        <f t="shared" si="2"/>
        <v>4140115.45</v>
      </c>
      <c r="U64" s="20" t="str">
        <f t="shared" si="3"/>
        <v/>
      </c>
      <c r="V64" s="20" t="str">
        <f t="shared" si="4"/>
        <v>GreenesecondaryschoolAux_Motors</v>
      </c>
      <c r="W64" s="20" t="str">
        <f t="shared" si="5"/>
        <v>Greenesecondaryschool</v>
      </c>
    </row>
    <row r="65" spans="4:23">
      <c r="D65" s="21"/>
      <c r="E65" s="21"/>
      <c r="F65" s="21"/>
      <c r="K65" s="20" t="s">
        <v>367</v>
      </c>
      <c r="L65" s="20" t="s">
        <v>463</v>
      </c>
      <c r="M65" s="20" t="s">
        <v>437</v>
      </c>
      <c r="N65" s="20">
        <v>0</v>
      </c>
      <c r="O65" s="20">
        <v>0</v>
      </c>
      <c r="P65" s="20">
        <v>3491555.78</v>
      </c>
      <c r="Q65" s="20">
        <v>0</v>
      </c>
      <c r="R65" s="20">
        <v>0</v>
      </c>
      <c r="S65" s="20">
        <v>0</v>
      </c>
      <c r="T65" s="20">
        <f t="shared" si="2"/>
        <v>3491555.78</v>
      </c>
      <c r="U65" s="20" t="str">
        <f t="shared" si="3"/>
        <v/>
      </c>
      <c r="V65" s="20" t="str">
        <f t="shared" si="4"/>
        <v>GreenesecondaryschoolLighting</v>
      </c>
      <c r="W65" s="20" t="str">
        <f t="shared" si="5"/>
        <v>Greenesecondaryschool</v>
      </c>
    </row>
    <row r="66" spans="4:23">
      <c r="D66" s="21"/>
      <c r="E66" s="21"/>
      <c r="F66" s="21"/>
      <c r="K66" s="20" t="s">
        <v>367</v>
      </c>
      <c r="L66" s="20" t="s">
        <v>463</v>
      </c>
      <c r="M66" s="20" t="s">
        <v>440</v>
      </c>
      <c r="N66" s="20">
        <v>0</v>
      </c>
      <c r="O66" s="20">
        <v>0</v>
      </c>
      <c r="P66" s="20">
        <v>3450339.11</v>
      </c>
      <c r="Q66" s="20">
        <v>0</v>
      </c>
      <c r="R66" s="20">
        <v>0</v>
      </c>
      <c r="S66" s="20">
        <v>0</v>
      </c>
      <c r="T66" s="20">
        <f t="shared" si="2"/>
        <v>3450339.11</v>
      </c>
      <c r="U66" s="20" t="str">
        <f t="shared" si="3"/>
        <v/>
      </c>
      <c r="V66" s="20" t="str">
        <f t="shared" si="4"/>
        <v>GreenesecondaryschoolSpace_Cooling</v>
      </c>
      <c r="W66" s="20" t="str">
        <f t="shared" si="5"/>
        <v>Greenesecondaryschool</v>
      </c>
    </row>
    <row r="67" spans="4:23">
      <c r="D67" s="21"/>
      <c r="E67" s="21"/>
      <c r="F67" s="21"/>
      <c r="K67" s="20" t="s">
        <v>367</v>
      </c>
      <c r="L67" s="20" t="s">
        <v>463</v>
      </c>
      <c r="M67" s="20" t="s">
        <v>443</v>
      </c>
      <c r="N67" s="20">
        <v>0</v>
      </c>
      <c r="O67" s="20">
        <v>0</v>
      </c>
      <c r="P67" s="20">
        <v>0</v>
      </c>
      <c r="Q67" s="20">
        <v>9882310.9900000002</v>
      </c>
      <c r="R67" s="20">
        <v>0</v>
      </c>
      <c r="S67" s="20">
        <v>0</v>
      </c>
      <c r="T67" s="20">
        <f t="shared" si="2"/>
        <v>9882310.9900000002</v>
      </c>
      <c r="U67" s="20" t="str">
        <f t="shared" si="3"/>
        <v/>
      </c>
      <c r="V67" s="20" t="str">
        <f t="shared" si="4"/>
        <v>GreenesecondaryschoolSpace_Heating</v>
      </c>
      <c r="W67" s="20" t="str">
        <f t="shared" si="5"/>
        <v>Greenesecondaryschool</v>
      </c>
    </row>
    <row r="68" spans="4:23">
      <c r="D68" s="21"/>
      <c r="E68" s="21"/>
      <c r="F68" s="21"/>
      <c r="K68" s="20" t="s">
        <v>367</v>
      </c>
      <c r="L68" s="20" t="s">
        <v>463</v>
      </c>
      <c r="M68" s="20" t="s">
        <v>445</v>
      </c>
      <c r="N68" s="20">
        <v>0</v>
      </c>
      <c r="O68" s="20">
        <v>0</v>
      </c>
      <c r="P68" s="20">
        <v>927568.6</v>
      </c>
      <c r="Q68" s="20">
        <v>617243.49</v>
      </c>
      <c r="R68" s="20">
        <v>0</v>
      </c>
      <c r="S68" s="20">
        <v>0</v>
      </c>
      <c r="T68" s="20">
        <f t="shared" si="2"/>
        <v>1544812.0899999999</v>
      </c>
      <c r="U68" s="20" t="str">
        <f t="shared" si="3"/>
        <v/>
      </c>
      <c r="V68" s="20" t="str">
        <f t="shared" si="4"/>
        <v>GreenesecondaryschoolWater_Heating</v>
      </c>
      <c r="W68" s="20" t="str">
        <f t="shared" si="5"/>
        <v>Greenesecondaryschool</v>
      </c>
    </row>
    <row r="69" spans="4:23">
      <c r="D69" s="21"/>
      <c r="E69" s="21"/>
      <c r="F69" s="21"/>
      <c r="K69" s="20" t="s">
        <v>367</v>
      </c>
      <c r="L69" s="20" t="s">
        <v>438</v>
      </c>
      <c r="M69" s="20" t="s">
        <v>429</v>
      </c>
      <c r="N69" s="20">
        <v>0</v>
      </c>
      <c r="O69" s="20">
        <v>0</v>
      </c>
      <c r="P69" s="20">
        <v>2317065.58</v>
      </c>
      <c r="Q69" s="20">
        <v>888636.3</v>
      </c>
      <c r="R69" s="20">
        <v>0</v>
      </c>
      <c r="S69" s="20">
        <v>0</v>
      </c>
      <c r="T69" s="20">
        <f t="shared" si="2"/>
        <v>3205701.88</v>
      </c>
      <c r="U69" s="20" t="str">
        <f t="shared" si="3"/>
        <v>commercial_non_retail_attraction</v>
      </c>
      <c r="V69" s="20" t="str">
        <f t="shared" si="4"/>
        <v>GreenesmallhotelAux_Equip</v>
      </c>
      <c r="W69" s="20" t="str">
        <f t="shared" si="5"/>
        <v>Greenesmallhotel</v>
      </c>
    </row>
    <row r="70" spans="4:23">
      <c r="D70" s="21"/>
      <c r="E70" s="21"/>
      <c r="F70" s="21"/>
      <c r="K70" s="20" t="s">
        <v>367</v>
      </c>
      <c r="L70" s="20" t="s">
        <v>438</v>
      </c>
      <c r="M70" s="20" t="s">
        <v>433</v>
      </c>
      <c r="N70" s="20">
        <v>0</v>
      </c>
      <c r="O70" s="20">
        <v>0</v>
      </c>
      <c r="P70" s="20">
        <v>1082328.52</v>
      </c>
      <c r="Q70" s="20">
        <v>0</v>
      </c>
      <c r="R70" s="20">
        <v>0</v>
      </c>
      <c r="S70" s="20">
        <v>0</v>
      </c>
      <c r="T70" s="20">
        <f t="shared" si="2"/>
        <v>1082328.52</v>
      </c>
      <c r="U70" s="20" t="str">
        <f t="shared" si="3"/>
        <v>commercial_non_retail_attraction</v>
      </c>
      <c r="V70" s="20" t="str">
        <f t="shared" si="4"/>
        <v>GreenesmallhotelAux_Motors</v>
      </c>
      <c r="W70" s="20" t="str">
        <f t="shared" si="5"/>
        <v>Greenesmallhotel</v>
      </c>
    </row>
    <row r="71" spans="4:23">
      <c r="D71" s="21"/>
      <c r="E71" s="21"/>
      <c r="F71" s="21"/>
      <c r="K71" s="20" t="s">
        <v>367</v>
      </c>
      <c r="L71" s="20" t="s">
        <v>438</v>
      </c>
      <c r="M71" s="20" t="s">
        <v>437</v>
      </c>
      <c r="N71" s="20">
        <v>0</v>
      </c>
      <c r="O71" s="20">
        <v>0</v>
      </c>
      <c r="P71" s="20">
        <v>1635937.52</v>
      </c>
      <c r="Q71" s="20">
        <v>0</v>
      </c>
      <c r="R71" s="20">
        <v>0</v>
      </c>
      <c r="S71" s="20">
        <v>0</v>
      </c>
      <c r="T71" s="20">
        <f t="shared" si="2"/>
        <v>1635937.52</v>
      </c>
      <c r="U71" s="20" t="str">
        <f t="shared" si="3"/>
        <v>commercial_non_retail_attraction</v>
      </c>
      <c r="V71" s="20" t="str">
        <f t="shared" si="4"/>
        <v>GreenesmallhotelLighting</v>
      </c>
      <c r="W71" s="20" t="str">
        <f t="shared" si="5"/>
        <v>Greenesmallhotel</v>
      </c>
    </row>
    <row r="72" spans="4:23">
      <c r="D72" s="21"/>
      <c r="E72" s="21"/>
      <c r="F72" s="21"/>
      <c r="K72" s="20" t="s">
        <v>367</v>
      </c>
      <c r="L72" s="20" t="s">
        <v>438</v>
      </c>
      <c r="M72" s="20" t="s">
        <v>440</v>
      </c>
      <c r="N72" s="20">
        <v>0</v>
      </c>
      <c r="O72" s="20">
        <v>0</v>
      </c>
      <c r="P72" s="20">
        <v>512089.38</v>
      </c>
      <c r="Q72" s="20">
        <v>0</v>
      </c>
      <c r="R72" s="20">
        <v>0</v>
      </c>
      <c r="S72" s="20">
        <v>0</v>
      </c>
      <c r="T72" s="20">
        <f t="shared" si="2"/>
        <v>512089.38</v>
      </c>
      <c r="U72" s="20" t="str">
        <f t="shared" si="3"/>
        <v>commercial_non_retail_attraction</v>
      </c>
      <c r="V72" s="20" t="str">
        <f t="shared" si="4"/>
        <v>GreenesmallhotelSpace_Cooling</v>
      </c>
      <c r="W72" s="20" t="str">
        <f t="shared" si="5"/>
        <v>Greenesmallhotel</v>
      </c>
    </row>
    <row r="73" spans="4:23">
      <c r="D73" s="21"/>
      <c r="E73" s="21"/>
      <c r="F73" s="21"/>
      <c r="K73" s="20" t="s">
        <v>367</v>
      </c>
      <c r="L73" s="20" t="s">
        <v>438</v>
      </c>
      <c r="M73" s="20" t="s">
        <v>443</v>
      </c>
      <c r="N73" s="20">
        <v>0</v>
      </c>
      <c r="O73" s="20">
        <v>0</v>
      </c>
      <c r="P73" s="20">
        <v>0</v>
      </c>
      <c r="Q73" s="20">
        <v>706726.27</v>
      </c>
      <c r="R73" s="20">
        <v>1829092.63</v>
      </c>
      <c r="S73" s="20">
        <v>0</v>
      </c>
      <c r="T73" s="20">
        <f t="shared" si="2"/>
        <v>2535818.9</v>
      </c>
      <c r="U73" s="20" t="str">
        <f t="shared" si="3"/>
        <v>commercial_non_retail_attraction</v>
      </c>
      <c r="V73" s="20" t="str">
        <f t="shared" si="4"/>
        <v>GreenesmallhotelSpace_Heating</v>
      </c>
      <c r="W73" s="20" t="str">
        <f t="shared" si="5"/>
        <v>Greenesmallhotel</v>
      </c>
    </row>
    <row r="74" spans="4:23">
      <c r="D74" s="21"/>
      <c r="E74" s="21"/>
      <c r="F74" s="21"/>
      <c r="K74" s="20" t="s">
        <v>367</v>
      </c>
      <c r="L74" s="20" t="s">
        <v>438</v>
      </c>
      <c r="M74" s="20" t="s">
        <v>445</v>
      </c>
      <c r="N74" s="20">
        <v>0</v>
      </c>
      <c r="O74" s="20">
        <v>0</v>
      </c>
      <c r="P74" s="20">
        <v>882311.66</v>
      </c>
      <c r="Q74" s="20">
        <v>587218.69999999995</v>
      </c>
      <c r="R74" s="20">
        <v>0</v>
      </c>
      <c r="S74" s="20">
        <v>0</v>
      </c>
      <c r="T74" s="20">
        <f t="shared" si="2"/>
        <v>1469530.3599999999</v>
      </c>
      <c r="U74" s="20" t="str">
        <f t="shared" si="3"/>
        <v>commercial_non_retail_attraction</v>
      </c>
      <c r="V74" s="20" t="str">
        <f t="shared" si="4"/>
        <v>GreenesmallhotelWater_Heating</v>
      </c>
      <c r="W74" s="20" t="str">
        <f t="shared" si="5"/>
        <v>Greenesmallhotel</v>
      </c>
    </row>
    <row r="75" spans="4:23">
      <c r="D75" s="21"/>
      <c r="E75" s="21"/>
      <c r="F75" s="21"/>
      <c r="K75" s="20" t="s">
        <v>367</v>
      </c>
      <c r="L75" s="20" t="s">
        <v>464</v>
      </c>
      <c r="M75" s="20" t="s">
        <v>429</v>
      </c>
      <c r="N75" s="20">
        <v>0</v>
      </c>
      <c r="O75" s="20">
        <v>0</v>
      </c>
      <c r="P75" s="20">
        <v>10641083.220000001</v>
      </c>
      <c r="Q75" s="20">
        <v>0</v>
      </c>
      <c r="R75" s="20">
        <v>0</v>
      </c>
      <c r="S75" s="20">
        <v>0</v>
      </c>
      <c r="T75" s="20">
        <f t="shared" si="2"/>
        <v>10641083.220000001</v>
      </c>
      <c r="U75" s="20" t="str">
        <f t="shared" si="3"/>
        <v/>
      </c>
      <c r="V75" s="20" t="str">
        <f t="shared" si="4"/>
        <v>GreenesmallofficeAux_Equip</v>
      </c>
      <c r="W75" s="20" t="str">
        <f t="shared" si="5"/>
        <v>Greenesmalloffice</v>
      </c>
    </row>
    <row r="76" spans="4:23">
      <c r="D76" s="21"/>
      <c r="E76" s="21"/>
      <c r="F76" s="21"/>
      <c r="K76" s="20" t="s">
        <v>367</v>
      </c>
      <c r="L76" s="20" t="s">
        <v>464</v>
      </c>
      <c r="M76" s="20" t="s">
        <v>433</v>
      </c>
      <c r="N76" s="20">
        <v>0</v>
      </c>
      <c r="O76" s="20">
        <v>0</v>
      </c>
      <c r="P76" s="20">
        <v>5304187.32</v>
      </c>
      <c r="Q76" s="20">
        <v>0</v>
      </c>
      <c r="R76" s="20">
        <v>0</v>
      </c>
      <c r="S76" s="20">
        <v>0</v>
      </c>
      <c r="T76" s="20">
        <f t="shared" si="2"/>
        <v>5304187.32</v>
      </c>
      <c r="U76" s="20" t="str">
        <f t="shared" si="3"/>
        <v/>
      </c>
      <c r="V76" s="20" t="str">
        <f t="shared" si="4"/>
        <v>GreenesmallofficeAux_Motors</v>
      </c>
      <c r="W76" s="20" t="str">
        <f t="shared" si="5"/>
        <v>Greenesmalloffice</v>
      </c>
    </row>
    <row r="77" spans="4:23">
      <c r="D77" s="21"/>
      <c r="E77" s="21"/>
      <c r="F77" s="21"/>
      <c r="K77" s="20" t="s">
        <v>367</v>
      </c>
      <c r="L77" s="20" t="s">
        <v>464</v>
      </c>
      <c r="M77" s="20" t="s">
        <v>437</v>
      </c>
      <c r="N77" s="20">
        <v>0</v>
      </c>
      <c r="O77" s="20">
        <v>0</v>
      </c>
      <c r="P77" s="20">
        <v>6030473.5599999996</v>
      </c>
      <c r="Q77" s="20">
        <v>0</v>
      </c>
      <c r="R77" s="20">
        <v>0</v>
      </c>
      <c r="S77" s="20">
        <v>0</v>
      </c>
      <c r="T77" s="20">
        <f t="shared" si="2"/>
        <v>6030473.5599999996</v>
      </c>
      <c r="U77" s="20" t="str">
        <f t="shared" si="3"/>
        <v/>
      </c>
      <c r="V77" s="20" t="str">
        <f t="shared" si="4"/>
        <v>GreenesmallofficeLighting</v>
      </c>
      <c r="W77" s="20" t="str">
        <f t="shared" si="5"/>
        <v>Greenesmalloffice</v>
      </c>
    </row>
    <row r="78" spans="4:23">
      <c r="D78" s="21"/>
      <c r="E78" s="21"/>
      <c r="F78" s="21"/>
      <c r="K78" s="20" t="s">
        <v>367</v>
      </c>
      <c r="L78" s="20" t="s">
        <v>464</v>
      </c>
      <c r="M78" s="20" t="s">
        <v>440</v>
      </c>
      <c r="N78" s="20">
        <v>0</v>
      </c>
      <c r="O78" s="20">
        <v>0</v>
      </c>
      <c r="P78" s="20">
        <v>2440161.62</v>
      </c>
      <c r="Q78" s="20">
        <v>0</v>
      </c>
      <c r="R78" s="20">
        <v>0</v>
      </c>
      <c r="S78" s="20">
        <v>0</v>
      </c>
      <c r="T78" s="20">
        <f t="shared" si="2"/>
        <v>2440161.62</v>
      </c>
      <c r="U78" s="20" t="str">
        <f t="shared" si="3"/>
        <v/>
      </c>
      <c r="V78" s="20" t="str">
        <f t="shared" si="4"/>
        <v>GreenesmallofficeSpace_Cooling</v>
      </c>
      <c r="W78" s="20" t="str">
        <f t="shared" si="5"/>
        <v>Greenesmalloffice</v>
      </c>
    </row>
    <row r="79" spans="4:23">
      <c r="D79" s="21"/>
      <c r="E79" s="21"/>
      <c r="F79" s="21"/>
      <c r="K79" s="20" t="s">
        <v>367</v>
      </c>
      <c r="L79" s="20" t="s">
        <v>464</v>
      </c>
      <c r="M79" s="20" t="s">
        <v>443</v>
      </c>
      <c r="N79" s="20">
        <v>0</v>
      </c>
      <c r="O79" s="20">
        <v>0</v>
      </c>
      <c r="P79" s="20">
        <v>1208505.95</v>
      </c>
      <c r="Q79" s="20">
        <v>13442529.869999999</v>
      </c>
      <c r="R79" s="20">
        <v>974441.94</v>
      </c>
      <c r="S79" s="20">
        <v>0</v>
      </c>
      <c r="T79" s="20">
        <f t="shared" si="2"/>
        <v>15625477.759999998</v>
      </c>
      <c r="U79" s="20" t="str">
        <f t="shared" si="3"/>
        <v/>
      </c>
      <c r="V79" s="20" t="str">
        <f t="shared" si="4"/>
        <v>GreenesmallofficeSpace_Heating</v>
      </c>
      <c r="W79" s="20" t="str">
        <f t="shared" si="5"/>
        <v>Greenesmalloffice</v>
      </c>
    </row>
    <row r="80" spans="4:23">
      <c r="D80" s="21"/>
      <c r="E80" s="21"/>
      <c r="F80" s="21"/>
      <c r="K80" s="20" t="s">
        <v>367</v>
      </c>
      <c r="L80" s="20" t="s">
        <v>464</v>
      </c>
      <c r="M80" s="20" t="s">
        <v>445</v>
      </c>
      <c r="N80" s="20">
        <v>0</v>
      </c>
      <c r="O80" s="20">
        <v>0</v>
      </c>
      <c r="P80" s="20">
        <v>576059.76</v>
      </c>
      <c r="Q80" s="20">
        <v>710715.02</v>
      </c>
      <c r="R80" s="20">
        <v>67713.81</v>
      </c>
      <c r="S80" s="20">
        <v>0</v>
      </c>
      <c r="T80" s="20">
        <f t="shared" si="2"/>
        <v>1354488.59</v>
      </c>
      <c r="U80" s="20" t="str">
        <f t="shared" si="3"/>
        <v/>
      </c>
      <c r="V80" s="20" t="str">
        <f t="shared" si="4"/>
        <v>GreenesmallofficeWater_Heating</v>
      </c>
      <c r="W80" s="20" t="str">
        <f t="shared" si="5"/>
        <v>Greenesmalloffice</v>
      </c>
    </row>
    <row r="81" spans="4:23">
      <c r="D81" s="21"/>
      <c r="E81" s="21"/>
      <c r="F81" s="21"/>
      <c r="K81" s="20" t="s">
        <v>367</v>
      </c>
      <c r="L81" s="20" t="s">
        <v>452</v>
      </c>
      <c r="M81" s="20" t="s">
        <v>429</v>
      </c>
      <c r="N81" s="20">
        <v>0</v>
      </c>
      <c r="O81" s="20">
        <v>0</v>
      </c>
      <c r="P81" s="20">
        <v>9587906.3399999999</v>
      </c>
      <c r="Q81" s="20">
        <v>0</v>
      </c>
      <c r="R81" s="20">
        <v>0</v>
      </c>
      <c r="S81" s="20">
        <v>0</v>
      </c>
      <c r="T81" s="20">
        <f t="shared" si="2"/>
        <v>9587906.3399999999</v>
      </c>
      <c r="U81" s="20" t="str">
        <f t="shared" si="3"/>
        <v>transportation_utilities</v>
      </c>
      <c r="V81" s="20" t="str">
        <f t="shared" si="4"/>
        <v>GreenewarehouseAux_Equip</v>
      </c>
      <c r="W81" s="20" t="str">
        <f t="shared" si="5"/>
        <v>Greenewarehouse</v>
      </c>
    </row>
    <row r="82" spans="4:23">
      <c r="D82" s="21"/>
      <c r="E82" s="21"/>
      <c r="F82" s="21"/>
      <c r="K82" s="20" t="s">
        <v>367</v>
      </c>
      <c r="L82" s="20" t="s">
        <v>452</v>
      </c>
      <c r="M82" s="20" t="s">
        <v>433</v>
      </c>
      <c r="N82" s="20">
        <v>0</v>
      </c>
      <c r="O82" s="20">
        <v>0</v>
      </c>
      <c r="P82" s="20">
        <v>664675.18999999994</v>
      </c>
      <c r="Q82" s="20">
        <v>0</v>
      </c>
      <c r="R82" s="20">
        <v>0</v>
      </c>
      <c r="S82" s="20">
        <v>0</v>
      </c>
      <c r="T82" s="20">
        <f t="shared" si="2"/>
        <v>664675.18999999994</v>
      </c>
      <c r="U82" s="20" t="str">
        <f t="shared" si="3"/>
        <v>transportation_utilities</v>
      </c>
      <c r="V82" s="20" t="str">
        <f t="shared" si="4"/>
        <v>GreenewarehouseAux_Motors</v>
      </c>
      <c r="W82" s="20" t="str">
        <f t="shared" si="5"/>
        <v>Greenewarehouse</v>
      </c>
    </row>
    <row r="83" spans="4:23">
      <c r="D83" s="21"/>
      <c r="E83" s="21"/>
      <c r="F83" s="21"/>
      <c r="K83" s="20" t="s">
        <v>367</v>
      </c>
      <c r="L83" s="20" t="s">
        <v>452</v>
      </c>
      <c r="M83" s="20" t="s">
        <v>437</v>
      </c>
      <c r="N83" s="20">
        <v>0</v>
      </c>
      <c r="O83" s="20">
        <v>0</v>
      </c>
      <c r="P83" s="20">
        <v>7285695.0700000003</v>
      </c>
      <c r="Q83" s="20">
        <v>0</v>
      </c>
      <c r="R83" s="20">
        <v>0</v>
      </c>
      <c r="S83" s="20">
        <v>0</v>
      </c>
      <c r="T83" s="20">
        <f t="shared" si="2"/>
        <v>7285695.0700000003</v>
      </c>
      <c r="U83" s="20" t="str">
        <f t="shared" si="3"/>
        <v>transportation_utilities</v>
      </c>
      <c r="V83" s="20" t="str">
        <f t="shared" si="4"/>
        <v>GreenewarehouseLighting</v>
      </c>
      <c r="W83" s="20" t="str">
        <f t="shared" si="5"/>
        <v>Greenewarehouse</v>
      </c>
    </row>
    <row r="84" spans="4:23">
      <c r="D84" s="21"/>
      <c r="E84" s="21"/>
      <c r="F84" s="21"/>
      <c r="K84" s="20" t="s">
        <v>367</v>
      </c>
      <c r="L84" s="20" t="s">
        <v>452</v>
      </c>
      <c r="M84" s="20" t="s">
        <v>440</v>
      </c>
      <c r="N84" s="20">
        <v>0</v>
      </c>
      <c r="O84" s="20">
        <v>0</v>
      </c>
      <c r="P84" s="20">
        <v>218533.26</v>
      </c>
      <c r="Q84" s="20">
        <v>0</v>
      </c>
      <c r="R84" s="20">
        <v>0</v>
      </c>
      <c r="S84" s="20">
        <v>0</v>
      </c>
      <c r="T84" s="20">
        <f t="shared" si="2"/>
        <v>218533.26</v>
      </c>
      <c r="U84" s="20" t="str">
        <f t="shared" si="3"/>
        <v>transportation_utilities</v>
      </c>
      <c r="V84" s="20" t="str">
        <f t="shared" si="4"/>
        <v>GreenewarehouseSpace_Cooling</v>
      </c>
      <c r="W84" s="20" t="str">
        <f t="shared" si="5"/>
        <v>Greenewarehouse</v>
      </c>
    </row>
    <row r="85" spans="4:23">
      <c r="D85" s="21"/>
      <c r="E85" s="21"/>
      <c r="F85" s="21"/>
      <c r="K85" s="20" t="s">
        <v>367</v>
      </c>
      <c r="L85" s="20" t="s">
        <v>452</v>
      </c>
      <c r="M85" s="20" t="s">
        <v>443</v>
      </c>
      <c r="N85" s="20">
        <v>0</v>
      </c>
      <c r="O85" s="20">
        <v>0</v>
      </c>
      <c r="P85" s="20">
        <v>729249.97</v>
      </c>
      <c r="Q85" s="20">
        <v>2695497.17</v>
      </c>
      <c r="R85" s="20">
        <v>172629.53</v>
      </c>
      <c r="S85" s="20">
        <v>0</v>
      </c>
      <c r="T85" s="20">
        <f t="shared" si="2"/>
        <v>3597376.6699999995</v>
      </c>
      <c r="U85" s="20" t="str">
        <f t="shared" si="3"/>
        <v>transportation_utilities</v>
      </c>
      <c r="V85" s="20" t="str">
        <f t="shared" si="4"/>
        <v>GreenewarehouseSpace_Heating</v>
      </c>
      <c r="W85" s="20" t="str">
        <f t="shared" si="5"/>
        <v>Greenewarehouse</v>
      </c>
    </row>
    <row r="86" spans="4:23">
      <c r="D86" s="21"/>
      <c r="E86" s="21"/>
      <c r="F86" s="21"/>
      <c r="K86" s="20" t="s">
        <v>367</v>
      </c>
      <c r="L86" s="20" t="s">
        <v>452</v>
      </c>
      <c r="M86" s="20" t="s">
        <v>445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f t="shared" si="2"/>
        <v>0</v>
      </c>
      <c r="U86" s="20" t="str">
        <f t="shared" si="3"/>
        <v>transportation_utilities</v>
      </c>
      <c r="V86" s="20" t="str">
        <f t="shared" si="4"/>
        <v>GreenewarehouseWater_Heating</v>
      </c>
      <c r="W86" s="20" t="str">
        <f t="shared" si="5"/>
        <v>Greenewarehouse</v>
      </c>
    </row>
    <row r="87" spans="4:23">
      <c r="D87" s="21"/>
      <c r="E87" s="21"/>
      <c r="F87" s="21"/>
      <c r="K87" s="20" t="s">
        <v>387</v>
      </c>
      <c r="L87" s="20" t="s">
        <v>428</v>
      </c>
      <c r="M87" s="20" t="s">
        <v>429</v>
      </c>
      <c r="N87" s="20">
        <v>0</v>
      </c>
      <c r="O87" s="20">
        <v>0</v>
      </c>
      <c r="P87" s="20">
        <v>5899866.0300000003</v>
      </c>
      <c r="Q87" s="20">
        <v>14943799.49</v>
      </c>
      <c r="R87" s="20">
        <v>0</v>
      </c>
      <c r="S87" s="20">
        <v>0</v>
      </c>
      <c r="T87" s="20">
        <f t="shared" si="2"/>
        <v>20843665.52</v>
      </c>
      <c r="U87" s="20" t="str">
        <f t="shared" si="3"/>
        <v>other</v>
      </c>
      <c r="V87" s="20" t="str">
        <f t="shared" si="4"/>
        <v>MiamifullservicerestaurantAux_Equip</v>
      </c>
      <c r="W87" s="20" t="str">
        <f t="shared" si="5"/>
        <v>Miamifullservicerestaurant</v>
      </c>
    </row>
    <row r="88" spans="4:23">
      <c r="D88" s="21"/>
      <c r="E88" s="21"/>
      <c r="F88" s="21"/>
      <c r="K88" s="20" t="s">
        <v>387</v>
      </c>
      <c r="L88" s="20" t="s">
        <v>428</v>
      </c>
      <c r="M88" s="20" t="s">
        <v>433</v>
      </c>
      <c r="N88" s="20">
        <v>0</v>
      </c>
      <c r="O88" s="20">
        <v>0</v>
      </c>
      <c r="P88" s="20">
        <v>5141962.72</v>
      </c>
      <c r="Q88" s="20">
        <v>0</v>
      </c>
      <c r="R88" s="20">
        <v>0</v>
      </c>
      <c r="S88" s="20">
        <v>0</v>
      </c>
      <c r="T88" s="20">
        <f t="shared" si="2"/>
        <v>5141962.72</v>
      </c>
      <c r="U88" s="20" t="str">
        <f t="shared" si="3"/>
        <v>other</v>
      </c>
      <c r="V88" s="20" t="str">
        <f t="shared" si="4"/>
        <v>MiamifullservicerestaurantAux_Motors</v>
      </c>
      <c r="W88" s="20" t="str">
        <f t="shared" si="5"/>
        <v>Miamifullservicerestaurant</v>
      </c>
    </row>
    <row r="89" spans="4:23">
      <c r="D89" s="21"/>
      <c r="E89" s="21"/>
      <c r="F89" s="21"/>
      <c r="K89" s="20" t="s">
        <v>387</v>
      </c>
      <c r="L89" s="20" t="s">
        <v>428</v>
      </c>
      <c r="M89" s="20" t="s">
        <v>437</v>
      </c>
      <c r="N89" s="20">
        <v>0</v>
      </c>
      <c r="O89" s="20">
        <v>0</v>
      </c>
      <c r="P89" s="20">
        <v>2177896.19</v>
      </c>
      <c r="Q89" s="20">
        <v>0</v>
      </c>
      <c r="R89" s="20">
        <v>0</v>
      </c>
      <c r="S89" s="20">
        <v>0</v>
      </c>
      <c r="T89" s="20">
        <f t="shared" si="2"/>
        <v>2177896.19</v>
      </c>
      <c r="U89" s="20" t="str">
        <f t="shared" si="3"/>
        <v>other</v>
      </c>
      <c r="V89" s="20" t="str">
        <f t="shared" si="4"/>
        <v>MiamifullservicerestaurantLighting</v>
      </c>
      <c r="W89" s="20" t="str">
        <f t="shared" si="5"/>
        <v>Miamifullservicerestaurant</v>
      </c>
    </row>
    <row r="90" spans="4:23">
      <c r="D90" s="21"/>
      <c r="E90" s="21"/>
      <c r="F90" s="21"/>
      <c r="K90" s="20" t="s">
        <v>387</v>
      </c>
      <c r="L90" s="20" t="s">
        <v>428</v>
      </c>
      <c r="M90" s="20" t="s">
        <v>440</v>
      </c>
      <c r="N90" s="20">
        <v>0</v>
      </c>
      <c r="O90" s="20">
        <v>0</v>
      </c>
      <c r="P90" s="20">
        <v>2505825.27</v>
      </c>
      <c r="Q90" s="20">
        <v>0</v>
      </c>
      <c r="R90" s="20">
        <v>0</v>
      </c>
      <c r="S90" s="20">
        <v>0</v>
      </c>
      <c r="T90" s="20">
        <f t="shared" si="2"/>
        <v>2505825.27</v>
      </c>
      <c r="U90" s="20" t="str">
        <f t="shared" si="3"/>
        <v>other</v>
      </c>
      <c r="V90" s="20" t="str">
        <f t="shared" si="4"/>
        <v>MiamifullservicerestaurantSpace_Cooling</v>
      </c>
      <c r="W90" s="20" t="str">
        <f t="shared" si="5"/>
        <v>Miamifullservicerestaurant</v>
      </c>
    </row>
    <row r="91" spans="4:23">
      <c r="D91" s="21"/>
      <c r="E91" s="21"/>
      <c r="F91" s="21"/>
      <c r="K91" s="20" t="s">
        <v>387</v>
      </c>
      <c r="L91" s="20" t="s">
        <v>428</v>
      </c>
      <c r="M91" s="20" t="s">
        <v>443</v>
      </c>
      <c r="N91" s="20">
        <v>0</v>
      </c>
      <c r="O91" s="20">
        <v>0</v>
      </c>
      <c r="P91" s="20">
        <v>2548847.09</v>
      </c>
      <c r="Q91" s="20">
        <v>6858951.2400000002</v>
      </c>
      <c r="R91" s="20">
        <v>0</v>
      </c>
      <c r="S91" s="20">
        <v>0</v>
      </c>
      <c r="T91" s="20">
        <f t="shared" si="2"/>
        <v>9407798.3300000001</v>
      </c>
      <c r="U91" s="20" t="str">
        <f t="shared" si="3"/>
        <v>other</v>
      </c>
      <c r="V91" s="20" t="str">
        <f t="shared" si="4"/>
        <v>MiamifullservicerestaurantSpace_Heating</v>
      </c>
      <c r="W91" s="20" t="str">
        <f t="shared" si="5"/>
        <v>Miamifullservicerestaurant</v>
      </c>
    </row>
    <row r="92" spans="4:23">
      <c r="D92" s="21"/>
      <c r="E92" s="21"/>
      <c r="F92" s="21"/>
      <c r="K92" s="20" t="s">
        <v>387</v>
      </c>
      <c r="L92" s="20" t="s">
        <v>428</v>
      </c>
      <c r="M92" s="20" t="s">
        <v>445</v>
      </c>
      <c r="N92" s="20">
        <v>0</v>
      </c>
      <c r="O92" s="20">
        <v>0</v>
      </c>
      <c r="P92" s="20">
        <v>4133602.74</v>
      </c>
      <c r="Q92" s="20">
        <v>6178996.4000000004</v>
      </c>
      <c r="R92" s="20">
        <v>0</v>
      </c>
      <c r="S92" s="20">
        <v>0</v>
      </c>
      <c r="T92" s="20">
        <f t="shared" si="2"/>
        <v>10312599.140000001</v>
      </c>
      <c r="U92" s="20" t="str">
        <f t="shared" si="3"/>
        <v>other</v>
      </c>
      <c r="V92" s="20" t="str">
        <f t="shared" si="4"/>
        <v>MiamifullservicerestaurantWater_Heating</v>
      </c>
      <c r="W92" s="20" t="str">
        <f t="shared" si="5"/>
        <v>Miamifullservicerestaurant</v>
      </c>
    </row>
    <row r="93" spans="4:23">
      <c r="D93" s="21"/>
      <c r="E93" s="21"/>
      <c r="F93" s="21"/>
      <c r="K93" s="20" t="s">
        <v>387</v>
      </c>
      <c r="L93" s="20" t="s">
        <v>449</v>
      </c>
      <c r="M93" s="20" t="s">
        <v>429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f t="shared" si="2"/>
        <v>0</v>
      </c>
      <c r="U93" s="20" t="str">
        <f t="shared" si="3"/>
        <v/>
      </c>
      <c r="V93" s="20" t="str">
        <f t="shared" si="4"/>
        <v>MiamihospitalAux_Equip</v>
      </c>
      <c r="W93" s="20" t="str">
        <f t="shared" si="5"/>
        <v>Miamihospital</v>
      </c>
    </row>
    <row r="94" spans="4:23">
      <c r="D94" s="21"/>
      <c r="E94" s="21"/>
      <c r="F94" s="21"/>
      <c r="K94" s="20" t="s">
        <v>387</v>
      </c>
      <c r="L94" s="20" t="s">
        <v>449</v>
      </c>
      <c r="M94" s="20" t="s">
        <v>433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f t="shared" si="2"/>
        <v>0</v>
      </c>
      <c r="U94" s="20" t="str">
        <f t="shared" si="3"/>
        <v/>
      </c>
      <c r="V94" s="20" t="str">
        <f t="shared" si="4"/>
        <v>MiamihospitalAux_Motors</v>
      </c>
      <c r="W94" s="20" t="str">
        <f t="shared" si="5"/>
        <v>Miamihospital</v>
      </c>
    </row>
    <row r="95" spans="4:23">
      <c r="D95" s="21"/>
      <c r="E95" s="21"/>
      <c r="F95" s="21"/>
      <c r="K95" s="20" t="s">
        <v>387</v>
      </c>
      <c r="L95" s="20" t="s">
        <v>449</v>
      </c>
      <c r="M95" s="20" t="s">
        <v>437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f t="shared" si="2"/>
        <v>0</v>
      </c>
      <c r="U95" s="20" t="str">
        <f t="shared" si="3"/>
        <v/>
      </c>
      <c r="V95" s="20" t="str">
        <f t="shared" si="4"/>
        <v>MiamihospitalLighting</v>
      </c>
      <c r="W95" s="20" t="str">
        <f t="shared" si="5"/>
        <v>Miamihospital</v>
      </c>
    </row>
    <row r="96" spans="4:23">
      <c r="D96" s="21"/>
      <c r="E96" s="21"/>
      <c r="F96" s="21"/>
      <c r="K96" s="20" t="s">
        <v>387</v>
      </c>
      <c r="L96" s="20" t="s">
        <v>449</v>
      </c>
      <c r="M96" s="20" t="s">
        <v>440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f t="shared" si="2"/>
        <v>0</v>
      </c>
      <c r="U96" s="20" t="str">
        <f t="shared" si="3"/>
        <v/>
      </c>
      <c r="V96" s="20" t="str">
        <f t="shared" si="4"/>
        <v>MiamihospitalSpace_Cooling</v>
      </c>
      <c r="W96" s="20" t="str">
        <f t="shared" si="5"/>
        <v>Miamihospital</v>
      </c>
    </row>
    <row r="97" spans="4:23">
      <c r="D97" s="21"/>
      <c r="E97" s="21"/>
      <c r="F97" s="21"/>
      <c r="K97" s="20" t="s">
        <v>387</v>
      </c>
      <c r="L97" s="20" t="s">
        <v>449</v>
      </c>
      <c r="M97" s="20" t="s">
        <v>443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f t="shared" si="2"/>
        <v>0</v>
      </c>
      <c r="U97" s="20" t="str">
        <f t="shared" si="3"/>
        <v/>
      </c>
      <c r="V97" s="20" t="str">
        <f t="shared" si="4"/>
        <v>MiamihospitalSpace_Heating</v>
      </c>
      <c r="W97" s="20" t="str">
        <f t="shared" si="5"/>
        <v>Miamihospital</v>
      </c>
    </row>
    <row r="98" spans="4:23">
      <c r="D98" s="21"/>
      <c r="E98" s="21"/>
      <c r="F98" s="21"/>
      <c r="K98" s="20" t="s">
        <v>387</v>
      </c>
      <c r="L98" s="20" t="s">
        <v>449</v>
      </c>
      <c r="M98" s="20" t="s">
        <v>445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f t="shared" si="2"/>
        <v>0</v>
      </c>
      <c r="U98" s="20" t="str">
        <f t="shared" si="3"/>
        <v/>
      </c>
      <c r="V98" s="20" t="str">
        <f t="shared" si="4"/>
        <v>MiamihospitalWater_Heating</v>
      </c>
      <c r="W98" s="20" t="str">
        <f t="shared" si="5"/>
        <v>Miamihospital</v>
      </c>
    </row>
    <row r="99" spans="4:23">
      <c r="D99" s="21"/>
      <c r="E99" s="21"/>
      <c r="F99" s="21"/>
      <c r="K99" s="20" t="s">
        <v>387</v>
      </c>
      <c r="L99" s="20" t="s">
        <v>458</v>
      </c>
      <c r="M99" s="20" t="s">
        <v>429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f t="shared" si="2"/>
        <v>0</v>
      </c>
      <c r="U99" s="20" t="str">
        <f t="shared" si="3"/>
        <v/>
      </c>
      <c r="V99" s="20" t="str">
        <f t="shared" si="4"/>
        <v>MiamilargehotelAux_Equip</v>
      </c>
      <c r="W99" s="20" t="str">
        <f t="shared" si="5"/>
        <v>Miamilargehotel</v>
      </c>
    </row>
    <row r="100" spans="4:23">
      <c r="D100" s="21"/>
      <c r="E100" s="21"/>
      <c r="F100" s="21"/>
      <c r="K100" s="20" t="s">
        <v>387</v>
      </c>
      <c r="L100" s="20" t="s">
        <v>458</v>
      </c>
      <c r="M100" s="20" t="s">
        <v>433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f t="shared" si="2"/>
        <v>0</v>
      </c>
      <c r="U100" s="20" t="str">
        <f t="shared" si="3"/>
        <v/>
      </c>
      <c r="V100" s="20" t="str">
        <f t="shared" si="4"/>
        <v>MiamilargehotelAux_Motors</v>
      </c>
      <c r="W100" s="20" t="str">
        <f t="shared" si="5"/>
        <v>Miamilargehotel</v>
      </c>
    </row>
    <row r="101" spans="4:23">
      <c r="D101" s="21"/>
      <c r="E101" s="21"/>
      <c r="F101" s="21"/>
      <c r="K101" s="20" t="s">
        <v>387</v>
      </c>
      <c r="L101" s="20" t="s">
        <v>458</v>
      </c>
      <c r="M101" s="20" t="s">
        <v>437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f t="shared" si="2"/>
        <v>0</v>
      </c>
      <c r="U101" s="20" t="str">
        <f t="shared" si="3"/>
        <v/>
      </c>
      <c r="V101" s="20" t="str">
        <f t="shared" si="4"/>
        <v>MiamilargehotelLighting</v>
      </c>
      <c r="W101" s="20" t="str">
        <f t="shared" si="5"/>
        <v>Miamilargehotel</v>
      </c>
    </row>
    <row r="102" spans="4:23">
      <c r="D102" s="21"/>
      <c r="E102" s="21"/>
      <c r="F102" s="21"/>
      <c r="K102" s="20" t="s">
        <v>387</v>
      </c>
      <c r="L102" s="20" t="s">
        <v>458</v>
      </c>
      <c r="M102" s="20" t="s">
        <v>440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f t="shared" si="2"/>
        <v>0</v>
      </c>
      <c r="U102" s="20" t="str">
        <f t="shared" si="3"/>
        <v/>
      </c>
      <c r="V102" s="20" t="str">
        <f t="shared" si="4"/>
        <v>MiamilargehotelSpace_Cooling</v>
      </c>
      <c r="W102" s="20" t="str">
        <f t="shared" si="5"/>
        <v>Miamilargehotel</v>
      </c>
    </row>
    <row r="103" spans="4:23">
      <c r="D103" s="21"/>
      <c r="E103" s="21"/>
      <c r="F103" s="21"/>
      <c r="K103" s="20" t="s">
        <v>387</v>
      </c>
      <c r="L103" s="20" t="s">
        <v>458</v>
      </c>
      <c r="M103" s="20" t="s">
        <v>443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f t="shared" si="2"/>
        <v>0</v>
      </c>
      <c r="U103" s="20" t="str">
        <f t="shared" si="3"/>
        <v/>
      </c>
      <c r="V103" s="20" t="str">
        <f t="shared" si="4"/>
        <v>MiamilargehotelSpace_Heating</v>
      </c>
      <c r="W103" s="20" t="str">
        <f t="shared" si="5"/>
        <v>Miamilargehotel</v>
      </c>
    </row>
    <row r="104" spans="4:23">
      <c r="D104" s="21"/>
      <c r="E104" s="21"/>
      <c r="F104" s="21"/>
      <c r="K104" s="20" t="s">
        <v>387</v>
      </c>
      <c r="L104" s="20" t="s">
        <v>458</v>
      </c>
      <c r="M104" s="20" t="s">
        <v>445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f t="shared" si="2"/>
        <v>0</v>
      </c>
      <c r="U104" s="20" t="str">
        <f t="shared" si="3"/>
        <v/>
      </c>
      <c r="V104" s="20" t="str">
        <f t="shared" si="4"/>
        <v>MiamilargehotelWater_Heating</v>
      </c>
      <c r="W104" s="20" t="str">
        <f t="shared" si="5"/>
        <v>Miamilargehotel</v>
      </c>
    </row>
    <row r="105" spans="4:23">
      <c r="D105" s="21"/>
      <c r="E105" s="21"/>
      <c r="F105" s="21"/>
      <c r="K105" s="20" t="s">
        <v>387</v>
      </c>
      <c r="L105" s="20" t="s">
        <v>460</v>
      </c>
      <c r="M105" s="20" t="s">
        <v>429</v>
      </c>
      <c r="N105" s="20">
        <v>0</v>
      </c>
      <c r="O105" s="20">
        <v>0</v>
      </c>
      <c r="P105" s="20">
        <v>28768021.66</v>
      </c>
      <c r="Q105" s="20">
        <v>0</v>
      </c>
      <c r="R105" s="20">
        <v>0</v>
      </c>
      <c r="S105" s="20">
        <v>0</v>
      </c>
      <c r="T105" s="20">
        <f t="shared" si="2"/>
        <v>28768021.66</v>
      </c>
      <c r="U105" s="20" t="str">
        <f t="shared" si="3"/>
        <v/>
      </c>
      <c r="V105" s="20" t="str">
        <f t="shared" si="4"/>
        <v>MiamilargeofficeAux_Equip</v>
      </c>
      <c r="W105" s="20" t="str">
        <f t="shared" si="5"/>
        <v>Miamilargeoffice</v>
      </c>
    </row>
    <row r="106" spans="4:23">
      <c r="D106" s="21"/>
      <c r="E106" s="21"/>
      <c r="F106" s="21"/>
      <c r="K106" s="20" t="s">
        <v>387</v>
      </c>
      <c r="L106" s="20" t="s">
        <v>460</v>
      </c>
      <c r="M106" s="20" t="s">
        <v>433</v>
      </c>
      <c r="N106" s="20">
        <v>0</v>
      </c>
      <c r="O106" s="20">
        <v>0</v>
      </c>
      <c r="P106" s="20">
        <v>4212018.2300000004</v>
      </c>
      <c r="Q106" s="20">
        <v>0</v>
      </c>
      <c r="R106" s="20">
        <v>0</v>
      </c>
      <c r="S106" s="20">
        <v>0</v>
      </c>
      <c r="T106" s="20">
        <f t="shared" si="2"/>
        <v>4212018.2300000004</v>
      </c>
      <c r="U106" s="20" t="str">
        <f t="shared" si="3"/>
        <v/>
      </c>
      <c r="V106" s="20" t="str">
        <f t="shared" si="4"/>
        <v>MiamilargeofficeAux_Motors</v>
      </c>
      <c r="W106" s="20" t="str">
        <f t="shared" si="5"/>
        <v>Miamilargeoffice</v>
      </c>
    </row>
    <row r="107" spans="4:23">
      <c r="D107" s="21"/>
      <c r="E107" s="21"/>
      <c r="F107" s="21"/>
      <c r="K107" s="20" t="s">
        <v>387</v>
      </c>
      <c r="L107" s="20" t="s">
        <v>460</v>
      </c>
      <c r="M107" s="20" t="s">
        <v>437</v>
      </c>
      <c r="N107" s="20">
        <v>0</v>
      </c>
      <c r="O107" s="20">
        <v>0</v>
      </c>
      <c r="P107" s="20">
        <v>2707069.02</v>
      </c>
      <c r="Q107" s="20">
        <v>0</v>
      </c>
      <c r="R107" s="20">
        <v>0</v>
      </c>
      <c r="S107" s="20">
        <v>0</v>
      </c>
      <c r="T107" s="20">
        <f t="shared" si="2"/>
        <v>2707069.02</v>
      </c>
      <c r="U107" s="20" t="str">
        <f t="shared" si="3"/>
        <v/>
      </c>
      <c r="V107" s="20" t="str">
        <f t="shared" si="4"/>
        <v>MiamilargeofficeLighting</v>
      </c>
      <c r="W107" s="20" t="str">
        <f t="shared" si="5"/>
        <v>Miamilargeoffice</v>
      </c>
    </row>
    <row r="108" spans="4:23">
      <c r="D108" s="21"/>
      <c r="E108" s="21"/>
      <c r="F108" s="21"/>
      <c r="K108" s="20" t="s">
        <v>387</v>
      </c>
      <c r="L108" s="20" t="s">
        <v>460</v>
      </c>
      <c r="M108" s="20" t="s">
        <v>440</v>
      </c>
      <c r="N108" s="20">
        <v>0</v>
      </c>
      <c r="O108" s="20">
        <v>0</v>
      </c>
      <c r="P108" s="20">
        <v>6242192.5499999998</v>
      </c>
      <c r="Q108" s="20">
        <v>0</v>
      </c>
      <c r="R108" s="20">
        <v>0</v>
      </c>
      <c r="S108" s="20">
        <v>0</v>
      </c>
      <c r="T108" s="20">
        <f t="shared" si="2"/>
        <v>6242192.5499999998</v>
      </c>
      <c r="U108" s="20" t="str">
        <f t="shared" si="3"/>
        <v/>
      </c>
      <c r="V108" s="20" t="str">
        <f t="shared" si="4"/>
        <v>MiamilargeofficeSpace_Cooling</v>
      </c>
      <c r="W108" s="20" t="str">
        <f t="shared" si="5"/>
        <v>Miamilargeoffice</v>
      </c>
    </row>
    <row r="109" spans="4:23">
      <c r="D109" s="21"/>
      <c r="E109" s="21"/>
      <c r="F109" s="21"/>
      <c r="K109" s="20" t="s">
        <v>387</v>
      </c>
      <c r="L109" s="20" t="s">
        <v>460</v>
      </c>
      <c r="M109" s="20" t="s">
        <v>443</v>
      </c>
      <c r="N109" s="20">
        <v>0</v>
      </c>
      <c r="O109" s="20">
        <v>0</v>
      </c>
      <c r="P109" s="20">
        <v>0</v>
      </c>
      <c r="Q109" s="20">
        <v>3649598.01</v>
      </c>
      <c r="R109" s="20">
        <v>0</v>
      </c>
      <c r="S109" s="20">
        <v>0</v>
      </c>
      <c r="T109" s="20">
        <f t="shared" si="2"/>
        <v>3649598.01</v>
      </c>
      <c r="U109" s="20" t="str">
        <f t="shared" si="3"/>
        <v/>
      </c>
      <c r="V109" s="20" t="str">
        <f t="shared" si="4"/>
        <v>MiamilargeofficeSpace_Heating</v>
      </c>
      <c r="W109" s="20" t="str">
        <f t="shared" si="5"/>
        <v>Miamilargeoffice</v>
      </c>
    </row>
    <row r="110" spans="4:23">
      <c r="D110" s="21"/>
      <c r="E110" s="21"/>
      <c r="F110" s="21"/>
      <c r="K110" s="20" t="s">
        <v>387</v>
      </c>
      <c r="L110" s="20" t="s">
        <v>460</v>
      </c>
      <c r="M110" s="20" t="s">
        <v>445</v>
      </c>
      <c r="N110" s="20">
        <v>0</v>
      </c>
      <c r="O110" s="20">
        <v>0</v>
      </c>
      <c r="P110" s="20">
        <v>0</v>
      </c>
      <c r="Q110" s="20">
        <v>332045.43</v>
      </c>
      <c r="R110" s="20">
        <v>0</v>
      </c>
      <c r="S110" s="20">
        <v>0</v>
      </c>
      <c r="T110" s="20">
        <f t="shared" si="2"/>
        <v>332045.43</v>
      </c>
      <c r="U110" s="20" t="str">
        <f t="shared" si="3"/>
        <v/>
      </c>
      <c r="V110" s="20" t="str">
        <f t="shared" si="4"/>
        <v>MiamilargeofficeWater_Heating</v>
      </c>
      <c r="W110" s="20" t="str">
        <f t="shared" si="5"/>
        <v>Miamilargeoffice</v>
      </c>
    </row>
    <row r="111" spans="4:23">
      <c r="D111" s="21"/>
      <c r="E111" s="21"/>
      <c r="F111" s="21"/>
      <c r="K111" s="20" t="s">
        <v>387</v>
      </c>
      <c r="L111" s="20" t="s">
        <v>434</v>
      </c>
      <c r="M111" s="20" t="s">
        <v>429</v>
      </c>
      <c r="N111" s="20">
        <v>0</v>
      </c>
      <c r="O111" s="20">
        <v>0</v>
      </c>
      <c r="P111" s="20">
        <v>8020728.1900000004</v>
      </c>
      <c r="Q111" s="20">
        <v>0</v>
      </c>
      <c r="R111" s="20">
        <v>0</v>
      </c>
      <c r="S111" s="20">
        <v>0</v>
      </c>
      <c r="T111" s="20">
        <f t="shared" si="2"/>
        <v>8020728.1900000004</v>
      </c>
      <c r="U111" s="20" t="str">
        <f t="shared" si="3"/>
        <v>commercial_office</v>
      </c>
      <c r="V111" s="20" t="str">
        <f t="shared" si="4"/>
        <v>MiamimediumofficeAux_Equip</v>
      </c>
      <c r="W111" s="20" t="str">
        <f t="shared" si="5"/>
        <v>Miamimediumoffice</v>
      </c>
    </row>
    <row r="112" spans="4:23">
      <c r="D112" s="21"/>
      <c r="E112" s="21"/>
      <c r="F112" s="21"/>
      <c r="K112" s="20" t="s">
        <v>387</v>
      </c>
      <c r="L112" s="20" t="s">
        <v>434</v>
      </c>
      <c r="M112" s="20" t="s">
        <v>433</v>
      </c>
      <c r="N112" s="20">
        <v>0</v>
      </c>
      <c r="O112" s="20">
        <v>0</v>
      </c>
      <c r="P112" s="20">
        <v>1803209.8</v>
      </c>
      <c r="Q112" s="20">
        <v>0</v>
      </c>
      <c r="R112" s="20">
        <v>0</v>
      </c>
      <c r="S112" s="20">
        <v>0</v>
      </c>
      <c r="T112" s="20">
        <f t="shared" si="2"/>
        <v>1803209.8</v>
      </c>
      <c r="U112" s="20" t="str">
        <f t="shared" si="3"/>
        <v>commercial_office</v>
      </c>
      <c r="V112" s="20" t="str">
        <f t="shared" si="4"/>
        <v>MiamimediumofficeAux_Motors</v>
      </c>
      <c r="W112" s="20" t="str">
        <f t="shared" si="5"/>
        <v>Miamimediumoffice</v>
      </c>
    </row>
    <row r="113" spans="4:23">
      <c r="D113" s="21"/>
      <c r="E113" s="21"/>
      <c r="F113" s="21"/>
      <c r="K113" s="20" t="s">
        <v>387</v>
      </c>
      <c r="L113" s="20" t="s">
        <v>434</v>
      </c>
      <c r="M113" s="20" t="s">
        <v>437</v>
      </c>
      <c r="N113" s="20">
        <v>0</v>
      </c>
      <c r="O113" s="20">
        <v>0</v>
      </c>
      <c r="P113" s="20">
        <v>3057241.79</v>
      </c>
      <c r="Q113" s="20">
        <v>0</v>
      </c>
      <c r="R113" s="20">
        <v>0</v>
      </c>
      <c r="S113" s="20">
        <v>0</v>
      </c>
      <c r="T113" s="20">
        <f t="shared" si="2"/>
        <v>3057241.79</v>
      </c>
      <c r="U113" s="20" t="str">
        <f t="shared" si="3"/>
        <v>commercial_office</v>
      </c>
      <c r="V113" s="20" t="str">
        <f t="shared" si="4"/>
        <v>MiamimediumofficeLighting</v>
      </c>
      <c r="W113" s="20" t="str">
        <f t="shared" si="5"/>
        <v>Miamimediumoffice</v>
      </c>
    </row>
    <row r="114" spans="4:23">
      <c r="D114" s="21"/>
      <c r="E114" s="21"/>
      <c r="F114" s="21"/>
      <c r="K114" s="20" t="s">
        <v>387</v>
      </c>
      <c r="L114" s="20" t="s">
        <v>434</v>
      </c>
      <c r="M114" s="20" t="s">
        <v>440</v>
      </c>
      <c r="N114" s="20">
        <v>0</v>
      </c>
      <c r="O114" s="20">
        <v>0</v>
      </c>
      <c r="P114" s="20">
        <v>1397701.52</v>
      </c>
      <c r="Q114" s="20">
        <v>0</v>
      </c>
      <c r="R114" s="20">
        <v>0</v>
      </c>
      <c r="S114" s="20">
        <v>0</v>
      </c>
      <c r="T114" s="20">
        <f t="shared" si="2"/>
        <v>1397701.52</v>
      </c>
      <c r="U114" s="20" t="str">
        <f t="shared" si="3"/>
        <v>commercial_office</v>
      </c>
      <c r="V114" s="20" t="str">
        <f t="shared" si="4"/>
        <v>MiamimediumofficeSpace_Cooling</v>
      </c>
      <c r="W114" s="20" t="str">
        <f t="shared" si="5"/>
        <v>Miamimediumoffice</v>
      </c>
    </row>
    <row r="115" spans="4:23">
      <c r="D115" s="21"/>
      <c r="E115" s="21"/>
      <c r="F115" s="21"/>
      <c r="K115" s="20" t="s">
        <v>387</v>
      </c>
      <c r="L115" s="20" t="s">
        <v>434</v>
      </c>
      <c r="M115" s="20" t="s">
        <v>443</v>
      </c>
      <c r="N115" s="20">
        <v>0</v>
      </c>
      <c r="O115" s="20">
        <v>0</v>
      </c>
      <c r="P115" s="20">
        <v>1811.28</v>
      </c>
      <c r="Q115" s="20">
        <v>1325716.47</v>
      </c>
      <c r="R115" s="20">
        <v>2165624.73</v>
      </c>
      <c r="S115" s="20">
        <v>0</v>
      </c>
      <c r="T115" s="20">
        <f t="shared" si="2"/>
        <v>3493152.48</v>
      </c>
      <c r="U115" s="20" t="str">
        <f t="shared" si="3"/>
        <v>commercial_office</v>
      </c>
      <c r="V115" s="20" t="str">
        <f t="shared" si="4"/>
        <v>MiamimediumofficeSpace_Heating</v>
      </c>
      <c r="W115" s="20" t="str">
        <f t="shared" si="5"/>
        <v>Miamimediumoffice</v>
      </c>
    </row>
    <row r="116" spans="4:23">
      <c r="D116" s="21"/>
      <c r="E116" s="21"/>
      <c r="F116" s="21"/>
      <c r="K116" s="20" t="s">
        <v>387</v>
      </c>
      <c r="L116" s="20" t="s">
        <v>434</v>
      </c>
      <c r="M116" s="20" t="s">
        <v>445</v>
      </c>
      <c r="N116" s="20">
        <v>0</v>
      </c>
      <c r="O116" s="20">
        <v>0</v>
      </c>
      <c r="P116" s="20">
        <v>198941.59</v>
      </c>
      <c r="Q116" s="20">
        <v>164985.76999999999</v>
      </c>
      <c r="R116" s="20">
        <v>0</v>
      </c>
      <c r="S116" s="20">
        <v>0</v>
      </c>
      <c r="T116" s="20">
        <f t="shared" si="2"/>
        <v>363927.36</v>
      </c>
      <c r="U116" s="20" t="str">
        <f t="shared" si="3"/>
        <v>commercial_office</v>
      </c>
      <c r="V116" s="20" t="str">
        <f t="shared" si="4"/>
        <v>MiamimediumofficeWater_Heating</v>
      </c>
      <c r="W116" s="20" t="str">
        <f t="shared" si="5"/>
        <v>Miamimediumoffice</v>
      </c>
    </row>
    <row r="117" spans="4:23">
      <c r="D117" s="21"/>
      <c r="E117" s="21"/>
      <c r="F117" s="21"/>
      <c r="K117" s="20" t="s">
        <v>387</v>
      </c>
      <c r="L117" s="20" t="s">
        <v>461</v>
      </c>
      <c r="M117" s="20" t="s">
        <v>429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f t="shared" si="2"/>
        <v>0</v>
      </c>
      <c r="U117" s="20" t="str">
        <f t="shared" si="3"/>
        <v/>
      </c>
      <c r="V117" s="20" t="str">
        <f t="shared" si="4"/>
        <v>MiamioutpatientAux_Equip</v>
      </c>
      <c r="W117" s="20" t="str">
        <f t="shared" si="5"/>
        <v>Miamioutpatient</v>
      </c>
    </row>
    <row r="118" spans="4:23">
      <c r="D118" s="21"/>
      <c r="E118" s="21"/>
      <c r="F118" s="21"/>
      <c r="K118" s="20" t="s">
        <v>387</v>
      </c>
      <c r="L118" s="20" t="s">
        <v>461</v>
      </c>
      <c r="M118" s="20" t="s">
        <v>433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f t="shared" si="2"/>
        <v>0</v>
      </c>
      <c r="U118" s="20" t="str">
        <f t="shared" si="3"/>
        <v/>
      </c>
      <c r="V118" s="20" t="str">
        <f t="shared" si="4"/>
        <v>MiamioutpatientAux_Motors</v>
      </c>
      <c r="W118" s="20" t="str">
        <f t="shared" si="5"/>
        <v>Miamioutpatient</v>
      </c>
    </row>
    <row r="119" spans="4:23">
      <c r="D119" s="21"/>
      <c r="E119" s="21"/>
      <c r="F119" s="21"/>
      <c r="K119" s="20" t="s">
        <v>387</v>
      </c>
      <c r="L119" s="20" t="s">
        <v>461</v>
      </c>
      <c r="M119" s="20" t="s">
        <v>437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f t="shared" si="2"/>
        <v>0</v>
      </c>
      <c r="U119" s="20" t="str">
        <f t="shared" si="3"/>
        <v/>
      </c>
      <c r="V119" s="20" t="str">
        <f t="shared" si="4"/>
        <v>MiamioutpatientLighting</v>
      </c>
      <c r="W119" s="20" t="str">
        <f t="shared" si="5"/>
        <v>Miamioutpatient</v>
      </c>
    </row>
    <row r="120" spans="4:23">
      <c r="D120" s="21"/>
      <c r="E120" s="21"/>
      <c r="F120" s="21"/>
      <c r="K120" s="20" t="s">
        <v>387</v>
      </c>
      <c r="L120" s="20" t="s">
        <v>461</v>
      </c>
      <c r="M120" s="20" t="s">
        <v>440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f t="shared" si="2"/>
        <v>0</v>
      </c>
      <c r="U120" s="20" t="str">
        <f t="shared" si="3"/>
        <v/>
      </c>
      <c r="V120" s="20" t="str">
        <f t="shared" si="4"/>
        <v>MiamioutpatientSpace_Cooling</v>
      </c>
      <c r="W120" s="20" t="str">
        <f t="shared" si="5"/>
        <v>Miamioutpatient</v>
      </c>
    </row>
    <row r="121" spans="4:23">
      <c r="D121" s="21"/>
      <c r="E121" s="21"/>
      <c r="F121" s="21"/>
      <c r="K121" s="20" t="s">
        <v>387</v>
      </c>
      <c r="L121" s="20" t="s">
        <v>461</v>
      </c>
      <c r="M121" s="20" t="s">
        <v>443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f t="shared" si="2"/>
        <v>0</v>
      </c>
      <c r="U121" s="20" t="str">
        <f t="shared" si="3"/>
        <v/>
      </c>
      <c r="V121" s="20" t="str">
        <f t="shared" si="4"/>
        <v>MiamioutpatientSpace_Heating</v>
      </c>
      <c r="W121" s="20" t="str">
        <f t="shared" si="5"/>
        <v>Miamioutpatient</v>
      </c>
    </row>
    <row r="122" spans="4:23">
      <c r="D122" s="21"/>
      <c r="E122" s="21"/>
      <c r="F122" s="21"/>
      <c r="K122" s="20" t="s">
        <v>387</v>
      </c>
      <c r="L122" s="20" t="s">
        <v>461</v>
      </c>
      <c r="M122" s="20" t="s">
        <v>445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f t="shared" si="2"/>
        <v>0</v>
      </c>
      <c r="U122" s="20" t="str">
        <f t="shared" si="3"/>
        <v/>
      </c>
      <c r="V122" s="20" t="str">
        <f t="shared" si="4"/>
        <v>MiamioutpatientWater_Heating</v>
      </c>
      <c r="W122" s="20" t="str">
        <f t="shared" si="5"/>
        <v>Miamioutpatient</v>
      </c>
    </row>
    <row r="123" spans="4:23">
      <c r="D123" s="21"/>
      <c r="E123" s="21"/>
      <c r="F123" s="21"/>
      <c r="K123" s="20" t="s">
        <v>387</v>
      </c>
      <c r="L123" s="20" t="s">
        <v>446</v>
      </c>
      <c r="M123" s="20" t="s">
        <v>429</v>
      </c>
      <c r="N123" s="20">
        <v>0</v>
      </c>
      <c r="O123" s="20">
        <v>0</v>
      </c>
      <c r="P123" s="20">
        <v>1965971.83</v>
      </c>
      <c r="Q123" s="20">
        <v>2313471.6</v>
      </c>
      <c r="R123" s="20">
        <v>0</v>
      </c>
      <c r="S123" s="20">
        <v>0</v>
      </c>
      <c r="T123" s="20">
        <f t="shared" si="2"/>
        <v>4279443.43</v>
      </c>
      <c r="U123" s="20" t="str">
        <f t="shared" si="3"/>
        <v>civic_education</v>
      </c>
      <c r="V123" s="20" t="str">
        <f t="shared" si="4"/>
        <v>MiamiprimaryschoolAux_Equip</v>
      </c>
      <c r="W123" s="20" t="str">
        <f t="shared" si="5"/>
        <v>Miamiprimaryschool</v>
      </c>
    </row>
    <row r="124" spans="4:23">
      <c r="D124" s="21"/>
      <c r="E124" s="21"/>
      <c r="F124" s="21"/>
      <c r="K124" s="20" t="s">
        <v>387</v>
      </c>
      <c r="L124" s="20" t="s">
        <v>446</v>
      </c>
      <c r="M124" s="20" t="s">
        <v>433</v>
      </c>
      <c r="N124" s="20">
        <v>0</v>
      </c>
      <c r="O124" s="20">
        <v>0</v>
      </c>
      <c r="P124" s="20">
        <v>6388409.5999999996</v>
      </c>
      <c r="Q124" s="20">
        <v>0</v>
      </c>
      <c r="R124" s="20">
        <v>0</v>
      </c>
      <c r="S124" s="20">
        <v>0</v>
      </c>
      <c r="T124" s="20">
        <f t="shared" si="2"/>
        <v>6388409.5999999996</v>
      </c>
      <c r="U124" s="20" t="str">
        <f t="shared" si="3"/>
        <v>civic_education</v>
      </c>
      <c r="V124" s="20" t="str">
        <f t="shared" si="4"/>
        <v>MiamiprimaryschoolAux_Motors</v>
      </c>
      <c r="W124" s="20" t="str">
        <f t="shared" si="5"/>
        <v>Miamiprimaryschool</v>
      </c>
    </row>
    <row r="125" spans="4:23">
      <c r="K125" s="20" t="s">
        <v>387</v>
      </c>
      <c r="L125" s="20" t="s">
        <v>446</v>
      </c>
      <c r="M125" s="20" t="s">
        <v>437</v>
      </c>
      <c r="N125" s="20">
        <v>0</v>
      </c>
      <c r="O125" s="20">
        <v>0</v>
      </c>
      <c r="P125" s="20">
        <v>8494249.2899999991</v>
      </c>
      <c r="Q125" s="20">
        <v>0</v>
      </c>
      <c r="R125" s="20">
        <v>0</v>
      </c>
      <c r="S125" s="20">
        <v>0</v>
      </c>
      <c r="T125" s="20">
        <f t="shared" si="2"/>
        <v>8494249.2899999991</v>
      </c>
      <c r="U125" s="20" t="str">
        <f t="shared" si="3"/>
        <v>civic_education</v>
      </c>
      <c r="V125" s="20" t="str">
        <f t="shared" si="4"/>
        <v>MiamiprimaryschoolLighting</v>
      </c>
      <c r="W125" s="20" t="str">
        <f t="shared" si="5"/>
        <v>Miamiprimaryschool</v>
      </c>
    </row>
    <row r="126" spans="4:23">
      <c r="K126" s="20" t="s">
        <v>387</v>
      </c>
      <c r="L126" s="20" t="s">
        <v>446</v>
      </c>
      <c r="M126" s="20" t="s">
        <v>440</v>
      </c>
      <c r="N126" s="20">
        <v>0</v>
      </c>
      <c r="O126" s="20">
        <v>0</v>
      </c>
      <c r="P126" s="20">
        <v>2767408.67</v>
      </c>
      <c r="Q126" s="20">
        <v>0</v>
      </c>
      <c r="R126" s="20">
        <v>0</v>
      </c>
      <c r="S126" s="20">
        <v>0</v>
      </c>
      <c r="T126" s="20">
        <f t="shared" si="2"/>
        <v>2767408.67</v>
      </c>
      <c r="U126" s="20" t="str">
        <f t="shared" si="3"/>
        <v>civic_education</v>
      </c>
      <c r="V126" s="20" t="str">
        <f t="shared" si="4"/>
        <v>MiamiprimaryschoolSpace_Cooling</v>
      </c>
      <c r="W126" s="20" t="str">
        <f t="shared" si="5"/>
        <v>Miamiprimaryschool</v>
      </c>
    </row>
    <row r="127" spans="4:23">
      <c r="I127" s="21"/>
      <c r="K127" s="20" t="s">
        <v>387</v>
      </c>
      <c r="L127" s="20" t="s">
        <v>446</v>
      </c>
      <c r="M127" s="20" t="s">
        <v>443</v>
      </c>
      <c r="N127" s="20">
        <v>0</v>
      </c>
      <c r="O127" s="20">
        <v>0</v>
      </c>
      <c r="P127" s="20">
        <v>0</v>
      </c>
      <c r="Q127" s="20">
        <v>18054724.039999999</v>
      </c>
      <c r="R127" s="20">
        <v>0</v>
      </c>
      <c r="S127" s="20">
        <v>0</v>
      </c>
      <c r="T127" s="20">
        <f t="shared" si="2"/>
        <v>18054724.039999999</v>
      </c>
      <c r="U127" s="20" t="str">
        <f t="shared" si="3"/>
        <v>civic_education</v>
      </c>
      <c r="V127" s="20" t="str">
        <f t="shared" si="4"/>
        <v>MiamiprimaryschoolSpace_Heating</v>
      </c>
      <c r="W127" s="20" t="str">
        <f t="shared" si="5"/>
        <v>Miamiprimaryschool</v>
      </c>
    </row>
    <row r="128" spans="4:23">
      <c r="I128" s="21"/>
      <c r="K128" s="20" t="s">
        <v>387</v>
      </c>
      <c r="L128" s="20" t="s">
        <v>446</v>
      </c>
      <c r="M128" s="20" t="s">
        <v>445</v>
      </c>
      <c r="N128" s="20">
        <v>0</v>
      </c>
      <c r="O128" s="20">
        <v>0</v>
      </c>
      <c r="P128" s="20">
        <v>1675113.38</v>
      </c>
      <c r="Q128" s="20">
        <v>1532931.99</v>
      </c>
      <c r="R128" s="20">
        <v>0</v>
      </c>
      <c r="S128" s="20">
        <v>0</v>
      </c>
      <c r="T128" s="20">
        <f t="shared" si="2"/>
        <v>3208045.37</v>
      </c>
      <c r="U128" s="20" t="str">
        <f t="shared" si="3"/>
        <v>civic_education</v>
      </c>
      <c r="V128" s="20" t="str">
        <f t="shared" si="4"/>
        <v>MiamiprimaryschoolWater_Heating</v>
      </c>
      <c r="W128" s="20" t="str">
        <f t="shared" si="5"/>
        <v>Miamiprimaryschool</v>
      </c>
    </row>
    <row r="129" spans="9:23">
      <c r="K129" s="20" t="s">
        <v>387</v>
      </c>
      <c r="L129" s="20" t="s">
        <v>457</v>
      </c>
      <c r="M129" s="20" t="s">
        <v>429</v>
      </c>
      <c r="N129" s="20">
        <v>0</v>
      </c>
      <c r="O129" s="20">
        <v>0</v>
      </c>
      <c r="P129" s="20">
        <v>4471847.12</v>
      </c>
      <c r="Q129" s="20">
        <v>16384853.65</v>
      </c>
      <c r="R129" s="20">
        <v>0</v>
      </c>
      <c r="S129" s="20">
        <v>0</v>
      </c>
      <c r="T129" s="20">
        <f t="shared" si="2"/>
        <v>20856700.77</v>
      </c>
      <c r="U129" s="20" t="str">
        <f t="shared" si="3"/>
        <v>unknown</v>
      </c>
      <c r="V129" s="20" t="str">
        <f t="shared" si="4"/>
        <v>MiamiquickservicerestaurantAux_Equip</v>
      </c>
      <c r="W129" s="20" t="str">
        <f t="shared" si="5"/>
        <v>Miamiquickservicerestaurant</v>
      </c>
    </row>
    <row r="130" spans="9:23">
      <c r="K130" s="20" t="s">
        <v>387</v>
      </c>
      <c r="L130" s="20" t="s">
        <v>457</v>
      </c>
      <c r="M130" s="20" t="s">
        <v>433</v>
      </c>
      <c r="N130" s="20">
        <v>0</v>
      </c>
      <c r="O130" s="20">
        <v>0</v>
      </c>
      <c r="P130" s="20">
        <v>3715366.09</v>
      </c>
      <c r="Q130" s="20">
        <v>0</v>
      </c>
      <c r="R130" s="20">
        <v>0</v>
      </c>
      <c r="S130" s="20">
        <v>0</v>
      </c>
      <c r="T130" s="20">
        <f t="shared" si="2"/>
        <v>3715366.09</v>
      </c>
      <c r="U130" s="20" t="str">
        <f t="shared" si="3"/>
        <v>unknown</v>
      </c>
      <c r="V130" s="20" t="str">
        <f t="shared" si="4"/>
        <v>MiamiquickservicerestaurantAux_Motors</v>
      </c>
      <c r="W130" s="20" t="str">
        <f t="shared" si="5"/>
        <v>Miamiquickservicerestaurant</v>
      </c>
    </row>
    <row r="131" spans="9:23">
      <c r="K131" s="20" t="s">
        <v>387</v>
      </c>
      <c r="L131" s="20" t="s">
        <v>457</v>
      </c>
      <c r="M131" s="20" t="s">
        <v>437</v>
      </c>
      <c r="N131" s="20">
        <v>0</v>
      </c>
      <c r="O131" s="20">
        <v>0</v>
      </c>
      <c r="P131" s="20">
        <v>2137145.5099999998</v>
      </c>
      <c r="Q131" s="20">
        <v>0</v>
      </c>
      <c r="R131" s="20">
        <v>0</v>
      </c>
      <c r="S131" s="20">
        <v>0</v>
      </c>
      <c r="T131" s="20">
        <f t="shared" si="2"/>
        <v>2137145.5099999998</v>
      </c>
      <c r="U131" s="20" t="str">
        <f t="shared" si="3"/>
        <v>unknown</v>
      </c>
      <c r="V131" s="20" t="str">
        <f t="shared" si="4"/>
        <v>MiamiquickservicerestaurantLighting</v>
      </c>
      <c r="W131" s="20" t="str">
        <f t="shared" si="5"/>
        <v>Miamiquickservicerestaurant</v>
      </c>
    </row>
    <row r="132" spans="9:23">
      <c r="I132" s="21"/>
      <c r="K132" s="20" t="s">
        <v>387</v>
      </c>
      <c r="L132" s="20" t="s">
        <v>457</v>
      </c>
      <c r="M132" s="20" t="s">
        <v>440</v>
      </c>
      <c r="N132" s="20">
        <v>0</v>
      </c>
      <c r="O132" s="20">
        <v>0</v>
      </c>
      <c r="P132" s="20">
        <v>1259124.6200000001</v>
      </c>
      <c r="Q132" s="20">
        <v>0</v>
      </c>
      <c r="R132" s="20">
        <v>0</v>
      </c>
      <c r="S132" s="20">
        <v>0</v>
      </c>
      <c r="T132" s="20">
        <f t="shared" si="2"/>
        <v>1259124.6200000001</v>
      </c>
      <c r="U132" s="20" t="str">
        <f t="shared" si="3"/>
        <v>unknown</v>
      </c>
      <c r="V132" s="20" t="str">
        <f t="shared" si="4"/>
        <v>MiamiquickservicerestaurantSpace_Cooling</v>
      </c>
      <c r="W132" s="20" t="str">
        <f t="shared" si="5"/>
        <v>Miamiquickservicerestaurant</v>
      </c>
    </row>
    <row r="133" spans="9:23">
      <c r="I133" s="21"/>
      <c r="K133" s="20" t="s">
        <v>387</v>
      </c>
      <c r="L133" s="20" t="s">
        <v>457</v>
      </c>
      <c r="M133" s="20" t="s">
        <v>443</v>
      </c>
      <c r="N133" s="20">
        <v>0</v>
      </c>
      <c r="O133" s="20">
        <v>0</v>
      </c>
      <c r="P133" s="20">
        <v>0</v>
      </c>
      <c r="Q133" s="20">
        <v>5452211.4299999997</v>
      </c>
      <c r="R133" s="20">
        <v>0</v>
      </c>
      <c r="S133" s="20">
        <v>0</v>
      </c>
      <c r="T133" s="20">
        <f t="shared" si="2"/>
        <v>5452211.4299999997</v>
      </c>
      <c r="U133" s="20" t="str">
        <f t="shared" si="3"/>
        <v>unknown</v>
      </c>
      <c r="V133" s="20" t="str">
        <f t="shared" si="4"/>
        <v>MiamiquickservicerestaurantSpace_Heating</v>
      </c>
      <c r="W133" s="20" t="str">
        <f t="shared" si="5"/>
        <v>Miamiquickservicerestaurant</v>
      </c>
    </row>
    <row r="134" spans="9:23">
      <c r="I134" s="21"/>
      <c r="K134" s="20" t="s">
        <v>387</v>
      </c>
      <c r="L134" s="20" t="s">
        <v>457</v>
      </c>
      <c r="M134" s="20" t="s">
        <v>445</v>
      </c>
      <c r="N134" s="20">
        <v>0</v>
      </c>
      <c r="O134" s="20">
        <v>0</v>
      </c>
      <c r="P134" s="20">
        <v>1054630.9099999999</v>
      </c>
      <c r="Q134" s="20">
        <v>1086250.55</v>
      </c>
      <c r="R134" s="20">
        <v>0</v>
      </c>
      <c r="S134" s="20">
        <v>0</v>
      </c>
      <c r="T134" s="20">
        <f t="shared" si="2"/>
        <v>2140881.46</v>
      </c>
      <c r="U134" s="20" t="str">
        <f t="shared" si="3"/>
        <v>unknown</v>
      </c>
      <c r="V134" s="20" t="str">
        <f t="shared" si="4"/>
        <v>MiamiquickservicerestaurantWater_Heating</v>
      </c>
      <c r="W134" s="20" t="str">
        <f t="shared" si="5"/>
        <v>Miamiquickservicerestaurant</v>
      </c>
    </row>
    <row r="135" spans="9:23">
      <c r="I135" s="21"/>
      <c r="K135" s="20" t="s">
        <v>387</v>
      </c>
      <c r="L135" s="20" t="s">
        <v>430</v>
      </c>
      <c r="M135" s="20" t="s">
        <v>429</v>
      </c>
      <c r="N135" s="20">
        <v>0</v>
      </c>
      <c r="O135" s="20">
        <v>0</v>
      </c>
      <c r="P135" s="20">
        <v>1816655.1</v>
      </c>
      <c r="Q135" s="20">
        <v>0</v>
      </c>
      <c r="R135" s="20">
        <v>0</v>
      </c>
      <c r="S135" s="20">
        <v>0</v>
      </c>
      <c r="T135" s="20">
        <f t="shared" si="2"/>
        <v>1816655.1</v>
      </c>
      <c r="U135" s="20" t="str">
        <f t="shared" si="3"/>
        <v>commercial_retail</v>
      </c>
      <c r="V135" s="20" t="str">
        <f t="shared" si="4"/>
        <v>MiamiretailstandaloneAux_Equip</v>
      </c>
      <c r="W135" s="20" t="str">
        <f t="shared" si="5"/>
        <v>Miamiretailstandalone</v>
      </c>
    </row>
    <row r="136" spans="9:23">
      <c r="I136" s="21"/>
      <c r="K136" s="20" t="s">
        <v>387</v>
      </c>
      <c r="L136" s="20" t="s">
        <v>430</v>
      </c>
      <c r="M136" s="20" t="s">
        <v>433</v>
      </c>
      <c r="N136" s="20">
        <v>0</v>
      </c>
      <c r="O136" s="20">
        <v>0</v>
      </c>
      <c r="P136" s="20">
        <v>2690311.58</v>
      </c>
      <c r="Q136" s="20">
        <v>0</v>
      </c>
      <c r="R136" s="20">
        <v>0</v>
      </c>
      <c r="S136" s="20">
        <v>0</v>
      </c>
      <c r="T136" s="20">
        <f t="shared" si="2"/>
        <v>2690311.58</v>
      </c>
      <c r="U136" s="20" t="str">
        <f t="shared" si="3"/>
        <v>commercial_retail</v>
      </c>
      <c r="V136" s="20" t="str">
        <f t="shared" si="4"/>
        <v>MiamiretailstandaloneAux_Motors</v>
      </c>
      <c r="W136" s="20" t="str">
        <f t="shared" si="5"/>
        <v>Miamiretailstandalone</v>
      </c>
    </row>
    <row r="137" spans="9:23">
      <c r="I137" s="21"/>
      <c r="K137" s="20" t="s">
        <v>387</v>
      </c>
      <c r="L137" s="20" t="s">
        <v>430</v>
      </c>
      <c r="M137" s="20" t="s">
        <v>437</v>
      </c>
      <c r="N137" s="20">
        <v>0</v>
      </c>
      <c r="O137" s="20">
        <v>0</v>
      </c>
      <c r="P137" s="20">
        <v>9041747.8599999994</v>
      </c>
      <c r="Q137" s="20">
        <v>0</v>
      </c>
      <c r="R137" s="20">
        <v>0</v>
      </c>
      <c r="S137" s="20">
        <v>0</v>
      </c>
      <c r="T137" s="20">
        <f t="shared" si="2"/>
        <v>9041747.8599999994</v>
      </c>
      <c r="U137" s="20" t="str">
        <f t="shared" si="3"/>
        <v>commercial_retail</v>
      </c>
      <c r="V137" s="20" t="str">
        <f t="shared" si="4"/>
        <v>MiamiretailstandaloneLighting</v>
      </c>
      <c r="W137" s="20" t="str">
        <f t="shared" si="5"/>
        <v>Miamiretailstandalone</v>
      </c>
    </row>
    <row r="138" spans="9:23">
      <c r="I138" s="21"/>
      <c r="K138" s="20" t="s">
        <v>387</v>
      </c>
      <c r="L138" s="20" t="s">
        <v>430</v>
      </c>
      <c r="M138" s="20" t="s">
        <v>440</v>
      </c>
      <c r="N138" s="20">
        <v>0</v>
      </c>
      <c r="O138" s="20">
        <v>0</v>
      </c>
      <c r="P138" s="20">
        <v>1578380.08</v>
      </c>
      <c r="Q138" s="20">
        <v>0</v>
      </c>
      <c r="R138" s="20">
        <v>0</v>
      </c>
      <c r="S138" s="20">
        <v>0</v>
      </c>
      <c r="T138" s="20">
        <f t="shared" si="2"/>
        <v>1578380.08</v>
      </c>
      <c r="U138" s="20" t="str">
        <f t="shared" si="3"/>
        <v>commercial_retail</v>
      </c>
      <c r="V138" s="20" t="str">
        <f t="shared" si="4"/>
        <v>MiamiretailstandaloneSpace_Cooling</v>
      </c>
      <c r="W138" s="20" t="str">
        <f t="shared" si="5"/>
        <v>Miamiretailstandalone</v>
      </c>
    </row>
    <row r="139" spans="9:23">
      <c r="I139" s="21"/>
      <c r="K139" s="20" t="s">
        <v>387</v>
      </c>
      <c r="L139" s="20" t="s">
        <v>430</v>
      </c>
      <c r="M139" s="20" t="s">
        <v>443</v>
      </c>
      <c r="N139" s="20">
        <v>0</v>
      </c>
      <c r="O139" s="20">
        <v>0</v>
      </c>
      <c r="P139" s="20">
        <v>2165235.54</v>
      </c>
      <c r="Q139" s="20">
        <v>6700677.7599999998</v>
      </c>
      <c r="R139" s="20">
        <v>2647861.2599999998</v>
      </c>
      <c r="S139" s="20">
        <v>0</v>
      </c>
      <c r="T139" s="20">
        <f t="shared" si="2"/>
        <v>11513774.560000001</v>
      </c>
      <c r="U139" s="20" t="str">
        <f t="shared" si="3"/>
        <v>commercial_retail</v>
      </c>
      <c r="V139" s="20" t="str">
        <f t="shared" si="4"/>
        <v>MiamiretailstandaloneSpace_Heating</v>
      </c>
      <c r="W139" s="20" t="str">
        <f t="shared" si="5"/>
        <v>Miamiretailstandalone</v>
      </c>
    </row>
    <row r="140" spans="9:23">
      <c r="I140" s="21"/>
      <c r="K140" s="20" t="s">
        <v>387</v>
      </c>
      <c r="L140" s="20" t="s">
        <v>430</v>
      </c>
      <c r="M140" s="20" t="s">
        <v>445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f t="shared" si="2"/>
        <v>0</v>
      </c>
      <c r="U140" s="20" t="str">
        <f t="shared" si="3"/>
        <v>commercial_retail</v>
      </c>
      <c r="V140" s="20" t="str">
        <f t="shared" si="4"/>
        <v>MiamiretailstandaloneWater_Heating</v>
      </c>
      <c r="W140" s="20" t="str">
        <f t="shared" si="5"/>
        <v>Miamiretailstandalone</v>
      </c>
    </row>
    <row r="141" spans="9:23">
      <c r="I141" s="21"/>
      <c r="K141" s="20" t="s">
        <v>387</v>
      </c>
      <c r="L141" s="20" t="s">
        <v>462</v>
      </c>
      <c r="M141" s="20" t="s">
        <v>429</v>
      </c>
      <c r="N141" s="20">
        <v>0</v>
      </c>
      <c r="O141" s="20">
        <v>0</v>
      </c>
      <c r="P141" s="20">
        <v>9384288.1799999997</v>
      </c>
      <c r="Q141" s="20">
        <v>15943598.369999999</v>
      </c>
      <c r="R141" s="20">
        <v>0</v>
      </c>
      <c r="S141" s="20">
        <v>0</v>
      </c>
      <c r="T141" s="20">
        <f t="shared" si="2"/>
        <v>25327886.549999997</v>
      </c>
      <c r="U141" s="20" t="str">
        <f t="shared" si="3"/>
        <v/>
      </c>
      <c r="V141" s="20" t="str">
        <f t="shared" si="4"/>
        <v>MiamiretailstripmallAux_Equip</v>
      </c>
      <c r="W141" s="20" t="str">
        <f t="shared" si="5"/>
        <v>Miamiretailstripmall</v>
      </c>
    </row>
    <row r="142" spans="9:23">
      <c r="I142" s="21"/>
      <c r="K142" s="20" t="s">
        <v>387</v>
      </c>
      <c r="L142" s="20" t="s">
        <v>462</v>
      </c>
      <c r="M142" s="20" t="s">
        <v>433</v>
      </c>
      <c r="N142" s="20">
        <v>0</v>
      </c>
      <c r="O142" s="20">
        <v>0</v>
      </c>
      <c r="P142" s="20">
        <v>9056286.9100000001</v>
      </c>
      <c r="Q142" s="20">
        <v>0</v>
      </c>
      <c r="R142" s="20">
        <v>0</v>
      </c>
      <c r="S142" s="20">
        <v>0</v>
      </c>
      <c r="T142" s="20">
        <f t="shared" si="2"/>
        <v>9056286.9100000001</v>
      </c>
      <c r="U142" s="20" t="str">
        <f t="shared" si="3"/>
        <v/>
      </c>
      <c r="V142" s="20" t="str">
        <f t="shared" si="4"/>
        <v>MiamiretailstripmallAux_Motors</v>
      </c>
      <c r="W142" s="20" t="str">
        <f t="shared" si="5"/>
        <v>Miamiretailstripmall</v>
      </c>
    </row>
    <row r="143" spans="9:23">
      <c r="I143" s="21"/>
      <c r="K143" s="20" t="s">
        <v>387</v>
      </c>
      <c r="L143" s="20" t="s">
        <v>462</v>
      </c>
      <c r="M143" s="20" t="s">
        <v>437</v>
      </c>
      <c r="N143" s="20">
        <v>0</v>
      </c>
      <c r="O143" s="20">
        <v>0</v>
      </c>
      <c r="P143" s="20">
        <v>15454165.1</v>
      </c>
      <c r="Q143" s="20">
        <v>0</v>
      </c>
      <c r="R143" s="20">
        <v>0</v>
      </c>
      <c r="S143" s="20">
        <v>0</v>
      </c>
      <c r="T143" s="20">
        <f t="shared" si="2"/>
        <v>15454165.1</v>
      </c>
      <c r="U143" s="20" t="str">
        <f t="shared" si="3"/>
        <v/>
      </c>
      <c r="V143" s="20" t="str">
        <f t="shared" si="4"/>
        <v>MiamiretailstripmallLighting</v>
      </c>
      <c r="W143" s="20" t="str">
        <f t="shared" si="5"/>
        <v>Miamiretailstripmall</v>
      </c>
    </row>
    <row r="144" spans="9:23">
      <c r="I144" s="21"/>
      <c r="K144" s="20" t="s">
        <v>387</v>
      </c>
      <c r="L144" s="20" t="s">
        <v>462</v>
      </c>
      <c r="M144" s="20" t="s">
        <v>440</v>
      </c>
      <c r="N144" s="20">
        <v>0</v>
      </c>
      <c r="O144" s="20">
        <v>0</v>
      </c>
      <c r="P144" s="20">
        <v>5412536.1399999997</v>
      </c>
      <c r="Q144" s="20">
        <v>0</v>
      </c>
      <c r="R144" s="20">
        <v>0</v>
      </c>
      <c r="S144" s="20">
        <v>0</v>
      </c>
      <c r="T144" s="20">
        <f t="shared" si="2"/>
        <v>5412536.1399999997</v>
      </c>
      <c r="U144" s="20" t="str">
        <f t="shared" si="3"/>
        <v/>
      </c>
      <c r="V144" s="20" t="str">
        <f t="shared" si="4"/>
        <v>MiamiretailstripmallSpace_Cooling</v>
      </c>
      <c r="W144" s="20" t="str">
        <f t="shared" si="5"/>
        <v>Miamiretailstripmall</v>
      </c>
    </row>
    <row r="145" spans="9:23">
      <c r="I145" s="21"/>
      <c r="K145" s="20" t="s">
        <v>387</v>
      </c>
      <c r="L145" s="20" t="s">
        <v>462</v>
      </c>
      <c r="M145" s="20" t="s">
        <v>443</v>
      </c>
      <c r="N145" s="20">
        <v>0</v>
      </c>
      <c r="O145" s="20">
        <v>0</v>
      </c>
      <c r="P145" s="20">
        <v>3714965.03</v>
      </c>
      <c r="Q145" s="20">
        <v>14486153.880000001</v>
      </c>
      <c r="R145" s="20">
        <v>412580.41</v>
      </c>
      <c r="S145" s="20">
        <v>0</v>
      </c>
      <c r="T145" s="20">
        <f t="shared" si="2"/>
        <v>18613699.32</v>
      </c>
      <c r="U145" s="20" t="str">
        <f t="shared" si="3"/>
        <v/>
      </c>
      <c r="V145" s="20" t="str">
        <f t="shared" si="4"/>
        <v>MiamiretailstripmallSpace_Heating</v>
      </c>
      <c r="W145" s="20" t="str">
        <f t="shared" si="5"/>
        <v>Miamiretailstripmall</v>
      </c>
    </row>
    <row r="146" spans="9:23">
      <c r="I146" s="21"/>
      <c r="K146" s="20" t="s">
        <v>387</v>
      </c>
      <c r="L146" s="20" t="s">
        <v>462</v>
      </c>
      <c r="M146" s="20" t="s">
        <v>445</v>
      </c>
      <c r="N146" s="20">
        <v>0</v>
      </c>
      <c r="O146" s="20">
        <v>0</v>
      </c>
      <c r="P146" s="20">
        <v>4649956.76</v>
      </c>
      <c r="Q146" s="20">
        <v>5985409.0800000001</v>
      </c>
      <c r="R146" s="20">
        <v>216105.83</v>
      </c>
      <c r="S146" s="20">
        <v>0</v>
      </c>
      <c r="T146" s="20">
        <f t="shared" si="2"/>
        <v>10851471.67</v>
      </c>
      <c r="U146" s="20" t="str">
        <f t="shared" si="3"/>
        <v/>
      </c>
      <c r="V146" s="20" t="str">
        <f t="shared" si="4"/>
        <v>MiamiretailstripmallWater_Heating</v>
      </c>
      <c r="W146" s="20" t="str">
        <f t="shared" si="5"/>
        <v>Miamiretailstripmall</v>
      </c>
    </row>
    <row r="147" spans="9:23">
      <c r="I147" s="21"/>
      <c r="K147" s="20" t="s">
        <v>387</v>
      </c>
      <c r="L147" s="20" t="s">
        <v>463</v>
      </c>
      <c r="M147" s="20" t="s">
        <v>429</v>
      </c>
      <c r="N147" s="20">
        <v>0</v>
      </c>
      <c r="O147" s="20">
        <v>0</v>
      </c>
      <c r="P147" s="20">
        <v>990950.57</v>
      </c>
      <c r="Q147" s="20">
        <v>496382.94</v>
      </c>
      <c r="R147" s="20">
        <v>0</v>
      </c>
      <c r="S147" s="20">
        <v>0</v>
      </c>
      <c r="T147" s="20">
        <f t="shared" si="2"/>
        <v>1487333.51</v>
      </c>
      <c r="U147" s="20" t="str">
        <f t="shared" si="3"/>
        <v/>
      </c>
      <c r="V147" s="20" t="str">
        <f t="shared" si="4"/>
        <v>MiamisecondaryschoolAux_Equip</v>
      </c>
      <c r="W147" s="20" t="str">
        <f t="shared" si="5"/>
        <v>Miamisecondaryschool</v>
      </c>
    </row>
    <row r="148" spans="9:23">
      <c r="I148" s="21"/>
      <c r="K148" s="20" t="s">
        <v>387</v>
      </c>
      <c r="L148" s="20" t="s">
        <v>463</v>
      </c>
      <c r="M148" s="20" t="s">
        <v>433</v>
      </c>
      <c r="N148" s="20">
        <v>0</v>
      </c>
      <c r="O148" s="20">
        <v>0</v>
      </c>
      <c r="P148" s="20">
        <v>1397021.3</v>
      </c>
      <c r="Q148" s="20">
        <v>0</v>
      </c>
      <c r="R148" s="20">
        <v>0</v>
      </c>
      <c r="S148" s="20">
        <v>0</v>
      </c>
      <c r="T148" s="20">
        <f t="shared" si="2"/>
        <v>1397021.3</v>
      </c>
      <c r="U148" s="20" t="str">
        <f t="shared" si="3"/>
        <v/>
      </c>
      <c r="V148" s="20" t="str">
        <f t="shared" si="4"/>
        <v>MiamisecondaryschoolAux_Motors</v>
      </c>
      <c r="W148" s="20" t="str">
        <f t="shared" si="5"/>
        <v>Miamisecondaryschool</v>
      </c>
    </row>
    <row r="149" spans="9:23">
      <c r="K149" s="20" t="s">
        <v>387</v>
      </c>
      <c r="L149" s="20" t="s">
        <v>463</v>
      </c>
      <c r="M149" s="20" t="s">
        <v>437</v>
      </c>
      <c r="N149" s="20">
        <v>0</v>
      </c>
      <c r="O149" s="20">
        <v>0</v>
      </c>
      <c r="P149" s="20">
        <v>2637175.08</v>
      </c>
      <c r="Q149" s="20">
        <v>0</v>
      </c>
      <c r="R149" s="20">
        <v>0</v>
      </c>
      <c r="S149" s="20">
        <v>0</v>
      </c>
      <c r="T149" s="20">
        <f t="shared" si="2"/>
        <v>2637175.08</v>
      </c>
      <c r="U149" s="20" t="str">
        <f t="shared" si="3"/>
        <v/>
      </c>
      <c r="V149" s="20" t="str">
        <f t="shared" si="4"/>
        <v>MiamisecondaryschoolLighting</v>
      </c>
      <c r="W149" s="20" t="str">
        <f t="shared" si="5"/>
        <v>Miamisecondaryschool</v>
      </c>
    </row>
    <row r="150" spans="9:23">
      <c r="K150" s="20" t="s">
        <v>387</v>
      </c>
      <c r="L150" s="20" t="s">
        <v>463</v>
      </c>
      <c r="M150" s="20" t="s">
        <v>440</v>
      </c>
      <c r="N150" s="20">
        <v>0</v>
      </c>
      <c r="O150" s="20">
        <v>0</v>
      </c>
      <c r="P150" s="20">
        <v>1752967.4</v>
      </c>
      <c r="Q150" s="20">
        <v>0</v>
      </c>
      <c r="R150" s="20">
        <v>0</v>
      </c>
      <c r="S150" s="20">
        <v>0</v>
      </c>
      <c r="T150" s="20">
        <f t="shared" si="2"/>
        <v>1752967.4</v>
      </c>
      <c r="U150" s="20" t="str">
        <f t="shared" si="3"/>
        <v/>
      </c>
      <c r="V150" s="20" t="str">
        <f t="shared" si="4"/>
        <v>MiamisecondaryschoolSpace_Cooling</v>
      </c>
      <c r="W150" s="20" t="str">
        <f t="shared" si="5"/>
        <v>Miamisecondaryschool</v>
      </c>
    </row>
    <row r="151" spans="9:23">
      <c r="K151" s="20" t="s">
        <v>387</v>
      </c>
      <c r="L151" s="20" t="s">
        <v>463</v>
      </c>
      <c r="M151" s="20" t="s">
        <v>443</v>
      </c>
      <c r="N151" s="20">
        <v>0</v>
      </c>
      <c r="O151" s="20">
        <v>0</v>
      </c>
      <c r="P151" s="20">
        <v>0</v>
      </c>
      <c r="Q151" s="20">
        <v>4885121.75</v>
      </c>
      <c r="R151" s="20">
        <v>0</v>
      </c>
      <c r="S151" s="20">
        <v>0</v>
      </c>
      <c r="T151" s="20">
        <f t="shared" si="2"/>
        <v>4885121.75</v>
      </c>
      <c r="U151" s="20" t="str">
        <f t="shared" si="3"/>
        <v/>
      </c>
      <c r="V151" s="20" t="str">
        <f t="shared" si="4"/>
        <v>MiamisecondaryschoolSpace_Heating</v>
      </c>
      <c r="W151" s="20" t="str">
        <f t="shared" si="5"/>
        <v>Miamisecondaryschool</v>
      </c>
    </row>
    <row r="152" spans="9:23">
      <c r="K152" s="20" t="s">
        <v>387</v>
      </c>
      <c r="L152" s="20" t="s">
        <v>463</v>
      </c>
      <c r="M152" s="20" t="s">
        <v>445</v>
      </c>
      <c r="N152" s="20">
        <v>0</v>
      </c>
      <c r="O152" s="20">
        <v>0</v>
      </c>
      <c r="P152" s="20">
        <v>523128.39</v>
      </c>
      <c r="Q152" s="20">
        <v>438792.1</v>
      </c>
      <c r="R152" s="20">
        <v>0</v>
      </c>
      <c r="S152" s="20">
        <v>0</v>
      </c>
      <c r="T152" s="20">
        <f t="shared" si="2"/>
        <v>961920.49</v>
      </c>
      <c r="U152" s="20" t="str">
        <f t="shared" si="3"/>
        <v/>
      </c>
      <c r="V152" s="20" t="str">
        <f t="shared" si="4"/>
        <v>MiamisecondaryschoolWater_Heating</v>
      </c>
      <c r="W152" s="20" t="str">
        <f t="shared" si="5"/>
        <v>Miamisecondaryschool</v>
      </c>
    </row>
    <row r="153" spans="9:23">
      <c r="K153" s="20" t="s">
        <v>387</v>
      </c>
      <c r="L153" s="20" t="s">
        <v>438</v>
      </c>
      <c r="M153" s="20" t="s">
        <v>429</v>
      </c>
      <c r="N153" s="20">
        <v>0</v>
      </c>
      <c r="O153" s="20">
        <v>0</v>
      </c>
      <c r="P153" s="20">
        <v>1835292.32</v>
      </c>
      <c r="Q153" s="20">
        <v>734642.8</v>
      </c>
      <c r="R153" s="20">
        <v>0</v>
      </c>
      <c r="S153" s="20">
        <v>0</v>
      </c>
      <c r="T153" s="20">
        <f t="shared" si="2"/>
        <v>2569935.12</v>
      </c>
      <c r="U153" s="20" t="str">
        <f t="shared" si="3"/>
        <v>commercial_non_retail_attraction</v>
      </c>
      <c r="V153" s="20" t="str">
        <f t="shared" si="4"/>
        <v>MiamismallhotelAux_Equip</v>
      </c>
      <c r="W153" s="20" t="str">
        <f t="shared" si="5"/>
        <v>Miamismallhotel</v>
      </c>
    </row>
    <row r="154" spans="9:23">
      <c r="K154" s="20" t="s">
        <v>387</v>
      </c>
      <c r="L154" s="20" t="s">
        <v>438</v>
      </c>
      <c r="M154" s="20" t="s">
        <v>433</v>
      </c>
      <c r="N154" s="20">
        <v>0</v>
      </c>
      <c r="O154" s="20">
        <v>0</v>
      </c>
      <c r="P154" s="20">
        <v>3648906.23</v>
      </c>
      <c r="Q154" s="20">
        <v>0</v>
      </c>
      <c r="R154" s="20">
        <v>0</v>
      </c>
      <c r="S154" s="20">
        <v>0</v>
      </c>
      <c r="T154" s="20">
        <f t="shared" si="2"/>
        <v>3648906.23</v>
      </c>
      <c r="U154" s="20" t="str">
        <f t="shared" si="3"/>
        <v>commercial_non_retail_attraction</v>
      </c>
      <c r="V154" s="20" t="str">
        <f t="shared" si="4"/>
        <v>MiamismallhotelAux_Motors</v>
      </c>
      <c r="W154" s="20" t="str">
        <f t="shared" si="5"/>
        <v>Miamismallhotel</v>
      </c>
    </row>
    <row r="155" spans="9:23">
      <c r="K155" s="20" t="s">
        <v>387</v>
      </c>
      <c r="L155" s="20" t="s">
        <v>438</v>
      </c>
      <c r="M155" s="20" t="s">
        <v>437</v>
      </c>
      <c r="N155" s="20">
        <v>0</v>
      </c>
      <c r="O155" s="20">
        <v>0</v>
      </c>
      <c r="P155" s="20">
        <v>1614640.68</v>
      </c>
      <c r="Q155" s="20">
        <v>0</v>
      </c>
      <c r="R155" s="20">
        <v>0</v>
      </c>
      <c r="S155" s="20">
        <v>0</v>
      </c>
      <c r="T155" s="20">
        <f t="shared" si="2"/>
        <v>1614640.68</v>
      </c>
      <c r="U155" s="20" t="str">
        <f t="shared" si="3"/>
        <v>commercial_non_retail_attraction</v>
      </c>
      <c r="V155" s="20" t="str">
        <f t="shared" si="4"/>
        <v>MiamismallhotelLighting</v>
      </c>
      <c r="W155" s="20" t="str">
        <f t="shared" si="5"/>
        <v>Miamismallhotel</v>
      </c>
    </row>
    <row r="156" spans="9:23">
      <c r="K156" s="20" t="s">
        <v>387</v>
      </c>
      <c r="L156" s="20" t="s">
        <v>438</v>
      </c>
      <c r="M156" s="20" t="s">
        <v>440</v>
      </c>
      <c r="N156" s="20">
        <v>0</v>
      </c>
      <c r="O156" s="20">
        <v>0</v>
      </c>
      <c r="P156" s="20">
        <v>1230688.31</v>
      </c>
      <c r="Q156" s="20">
        <v>0</v>
      </c>
      <c r="R156" s="20">
        <v>0</v>
      </c>
      <c r="S156" s="20">
        <v>0</v>
      </c>
      <c r="T156" s="20">
        <f t="shared" si="2"/>
        <v>1230688.31</v>
      </c>
      <c r="U156" s="20" t="str">
        <f t="shared" si="3"/>
        <v>commercial_non_retail_attraction</v>
      </c>
      <c r="V156" s="20" t="str">
        <f t="shared" si="4"/>
        <v>MiamismallhotelSpace_Cooling</v>
      </c>
      <c r="W156" s="20" t="str">
        <f t="shared" si="5"/>
        <v>Miamismallhotel</v>
      </c>
    </row>
    <row r="157" spans="9:23">
      <c r="K157" s="20" t="s">
        <v>387</v>
      </c>
      <c r="L157" s="20" t="s">
        <v>438</v>
      </c>
      <c r="M157" s="20" t="s">
        <v>443</v>
      </c>
      <c r="N157" s="20">
        <v>0</v>
      </c>
      <c r="O157" s="20">
        <v>0</v>
      </c>
      <c r="P157" s="20">
        <v>2613360.65</v>
      </c>
      <c r="Q157" s="20">
        <v>603114.88</v>
      </c>
      <c r="R157" s="20">
        <v>0</v>
      </c>
      <c r="S157" s="20">
        <v>0</v>
      </c>
      <c r="T157" s="20">
        <f t="shared" si="2"/>
        <v>3216475.53</v>
      </c>
      <c r="U157" s="20" t="str">
        <f t="shared" si="3"/>
        <v>commercial_non_retail_attraction</v>
      </c>
      <c r="V157" s="20" t="str">
        <f t="shared" si="4"/>
        <v>MiamismallhotelSpace_Heating</v>
      </c>
      <c r="W157" s="20" t="str">
        <f t="shared" si="5"/>
        <v>Miamismallhotel</v>
      </c>
    </row>
    <row r="158" spans="9:23">
      <c r="K158" s="20" t="s">
        <v>387</v>
      </c>
      <c r="L158" s="20" t="s">
        <v>438</v>
      </c>
      <c r="M158" s="20" t="s">
        <v>445</v>
      </c>
      <c r="N158" s="20">
        <v>0</v>
      </c>
      <c r="O158" s="20">
        <v>0</v>
      </c>
      <c r="P158" s="20">
        <v>0</v>
      </c>
      <c r="Q158" s="20">
        <v>1471940.54</v>
      </c>
      <c r="R158" s="20">
        <v>0</v>
      </c>
      <c r="S158" s="20">
        <v>0</v>
      </c>
      <c r="T158" s="20">
        <f t="shared" si="2"/>
        <v>1471940.54</v>
      </c>
      <c r="U158" s="20" t="str">
        <f t="shared" si="3"/>
        <v>commercial_non_retail_attraction</v>
      </c>
      <c r="V158" s="20" t="str">
        <f t="shared" si="4"/>
        <v>MiamismallhotelWater_Heating</v>
      </c>
      <c r="W158" s="20" t="str">
        <f t="shared" si="5"/>
        <v>Miamismallhotel</v>
      </c>
    </row>
    <row r="159" spans="9:23">
      <c r="K159" s="20" t="s">
        <v>387</v>
      </c>
      <c r="L159" s="20" t="s">
        <v>464</v>
      </c>
      <c r="M159" s="20" t="s">
        <v>429</v>
      </c>
      <c r="N159" s="20">
        <v>0</v>
      </c>
      <c r="O159" s="20">
        <v>0</v>
      </c>
      <c r="P159" s="20">
        <v>6710870.6500000004</v>
      </c>
      <c r="Q159" s="20">
        <v>0</v>
      </c>
      <c r="R159" s="20">
        <v>0</v>
      </c>
      <c r="S159" s="20">
        <v>0</v>
      </c>
      <c r="T159" s="20">
        <f t="shared" si="2"/>
        <v>6710870.6500000004</v>
      </c>
      <c r="U159" s="20" t="str">
        <f t="shared" si="3"/>
        <v/>
      </c>
      <c r="V159" s="20" t="str">
        <f t="shared" si="4"/>
        <v>MiamismallofficeAux_Equip</v>
      </c>
      <c r="W159" s="20" t="str">
        <f t="shared" si="5"/>
        <v>Miamismalloffice</v>
      </c>
    </row>
    <row r="160" spans="9:23">
      <c r="K160" s="20" t="s">
        <v>387</v>
      </c>
      <c r="L160" s="20" t="s">
        <v>464</v>
      </c>
      <c r="M160" s="20" t="s">
        <v>433</v>
      </c>
      <c r="N160" s="20">
        <v>0</v>
      </c>
      <c r="O160" s="20">
        <v>0</v>
      </c>
      <c r="P160" s="20">
        <v>3836650.49</v>
      </c>
      <c r="Q160" s="20">
        <v>0</v>
      </c>
      <c r="R160" s="20">
        <v>0</v>
      </c>
      <c r="S160" s="20">
        <v>0</v>
      </c>
      <c r="T160" s="20">
        <f t="shared" si="2"/>
        <v>3836650.49</v>
      </c>
      <c r="U160" s="20" t="str">
        <f t="shared" si="3"/>
        <v/>
      </c>
      <c r="V160" s="20" t="str">
        <f t="shared" si="4"/>
        <v>MiamismallofficeAux_Motors</v>
      </c>
      <c r="W160" s="20" t="str">
        <f t="shared" si="5"/>
        <v>Miamismalloffice</v>
      </c>
    </row>
    <row r="161" spans="11:23">
      <c r="K161" s="20" t="s">
        <v>387</v>
      </c>
      <c r="L161" s="20" t="s">
        <v>464</v>
      </c>
      <c r="M161" s="20" t="s">
        <v>437</v>
      </c>
      <c r="N161" s="20">
        <v>0</v>
      </c>
      <c r="O161" s="20">
        <v>0</v>
      </c>
      <c r="P161" s="20">
        <v>3307725.55</v>
      </c>
      <c r="Q161" s="20">
        <v>0</v>
      </c>
      <c r="R161" s="20">
        <v>0</v>
      </c>
      <c r="S161" s="20">
        <v>0</v>
      </c>
      <c r="T161" s="20">
        <f t="shared" si="2"/>
        <v>3307725.55</v>
      </c>
      <c r="U161" s="20" t="str">
        <f t="shared" si="3"/>
        <v/>
      </c>
      <c r="V161" s="20" t="str">
        <f t="shared" si="4"/>
        <v>MiamismallofficeLighting</v>
      </c>
      <c r="W161" s="20" t="str">
        <f t="shared" si="5"/>
        <v>Miamismalloffice</v>
      </c>
    </row>
    <row r="162" spans="11:23">
      <c r="K162" s="20" t="s">
        <v>387</v>
      </c>
      <c r="L162" s="20" t="s">
        <v>464</v>
      </c>
      <c r="M162" s="20" t="s">
        <v>440</v>
      </c>
      <c r="N162" s="20">
        <v>0</v>
      </c>
      <c r="O162" s="20">
        <v>0</v>
      </c>
      <c r="P162" s="20">
        <v>1776319.87</v>
      </c>
      <c r="Q162" s="20">
        <v>0</v>
      </c>
      <c r="R162" s="20">
        <v>0</v>
      </c>
      <c r="S162" s="20">
        <v>0</v>
      </c>
      <c r="T162" s="20">
        <f t="shared" si="2"/>
        <v>1776319.87</v>
      </c>
      <c r="U162" s="20" t="str">
        <f t="shared" si="3"/>
        <v/>
      </c>
      <c r="V162" s="20" t="str">
        <f t="shared" si="4"/>
        <v>MiamismallofficeSpace_Cooling</v>
      </c>
      <c r="W162" s="20" t="str">
        <f t="shared" si="5"/>
        <v>Miamismalloffice</v>
      </c>
    </row>
    <row r="163" spans="11:23">
      <c r="K163" s="20" t="s">
        <v>387</v>
      </c>
      <c r="L163" s="20" t="s">
        <v>464</v>
      </c>
      <c r="M163" s="20" t="s">
        <v>443</v>
      </c>
      <c r="N163" s="20">
        <v>0</v>
      </c>
      <c r="O163" s="20">
        <v>0</v>
      </c>
      <c r="P163" s="20">
        <v>1459971.78</v>
      </c>
      <c r="Q163" s="20">
        <v>6210283.4800000004</v>
      </c>
      <c r="R163" s="20">
        <v>755543.2</v>
      </c>
      <c r="S163" s="20">
        <v>0</v>
      </c>
      <c r="T163" s="20">
        <f t="shared" si="2"/>
        <v>8425798.4600000009</v>
      </c>
      <c r="U163" s="20" t="str">
        <f t="shared" si="3"/>
        <v/>
      </c>
      <c r="V163" s="20" t="str">
        <f t="shared" si="4"/>
        <v>MiamismallofficeSpace_Heating</v>
      </c>
      <c r="W163" s="20" t="str">
        <f t="shared" si="5"/>
        <v>Miamismalloffice</v>
      </c>
    </row>
    <row r="164" spans="11:23">
      <c r="K164" s="20" t="s">
        <v>387</v>
      </c>
      <c r="L164" s="20" t="s">
        <v>464</v>
      </c>
      <c r="M164" s="20" t="s">
        <v>445</v>
      </c>
      <c r="N164" s="20">
        <v>0</v>
      </c>
      <c r="O164" s="20">
        <v>0</v>
      </c>
      <c r="P164" s="20">
        <v>380575.25</v>
      </c>
      <c r="Q164" s="20">
        <v>323490.83</v>
      </c>
      <c r="R164" s="20">
        <v>62745.78</v>
      </c>
      <c r="S164" s="20">
        <v>0</v>
      </c>
      <c r="T164" s="20">
        <f t="shared" si="2"/>
        <v>766811.8600000001</v>
      </c>
      <c r="U164" s="20" t="str">
        <f t="shared" si="3"/>
        <v/>
      </c>
      <c r="V164" s="20" t="str">
        <f t="shared" si="4"/>
        <v>MiamismallofficeWater_Heating</v>
      </c>
      <c r="W164" s="20" t="str">
        <f t="shared" si="5"/>
        <v>Miamismalloffice</v>
      </c>
    </row>
    <row r="165" spans="11:23">
      <c r="K165" s="20" t="s">
        <v>387</v>
      </c>
      <c r="L165" s="20" t="s">
        <v>452</v>
      </c>
      <c r="M165" s="20" t="s">
        <v>429</v>
      </c>
      <c r="N165" s="20">
        <v>0</v>
      </c>
      <c r="O165" s="20">
        <v>0</v>
      </c>
      <c r="P165" s="20">
        <v>21785854.170000002</v>
      </c>
      <c r="Q165" s="20">
        <v>0</v>
      </c>
      <c r="R165" s="20">
        <v>0</v>
      </c>
      <c r="S165" s="20">
        <v>0</v>
      </c>
      <c r="T165" s="20">
        <f t="shared" si="2"/>
        <v>21785854.170000002</v>
      </c>
      <c r="U165" s="20" t="str">
        <f t="shared" si="3"/>
        <v>transportation_utilities</v>
      </c>
      <c r="V165" s="20" t="str">
        <f t="shared" si="4"/>
        <v>MiamiwarehouseAux_Equip</v>
      </c>
      <c r="W165" s="20" t="str">
        <f t="shared" si="5"/>
        <v>Miamiwarehouse</v>
      </c>
    </row>
    <row r="166" spans="11:23">
      <c r="K166" s="20" t="s">
        <v>387</v>
      </c>
      <c r="L166" s="20" t="s">
        <v>452</v>
      </c>
      <c r="M166" s="20" t="s">
        <v>433</v>
      </c>
      <c r="N166" s="20">
        <v>0</v>
      </c>
      <c r="O166" s="20">
        <v>0</v>
      </c>
      <c r="P166" s="20">
        <v>1054985.3500000001</v>
      </c>
      <c r="Q166" s="20">
        <v>0</v>
      </c>
      <c r="R166" s="20">
        <v>0</v>
      </c>
      <c r="S166" s="20">
        <v>0</v>
      </c>
      <c r="T166" s="20">
        <f t="shared" si="2"/>
        <v>1054985.3500000001</v>
      </c>
      <c r="U166" s="20" t="str">
        <f t="shared" si="3"/>
        <v>transportation_utilities</v>
      </c>
      <c r="V166" s="20" t="str">
        <f t="shared" si="4"/>
        <v>MiamiwarehouseAux_Motors</v>
      </c>
      <c r="W166" s="20" t="str">
        <f t="shared" si="5"/>
        <v>Miamiwarehouse</v>
      </c>
    </row>
    <row r="167" spans="11:23">
      <c r="K167" s="20" t="s">
        <v>387</v>
      </c>
      <c r="L167" s="20" t="s">
        <v>452</v>
      </c>
      <c r="M167" s="20" t="s">
        <v>437</v>
      </c>
      <c r="N167" s="20">
        <v>0</v>
      </c>
      <c r="O167" s="20">
        <v>0</v>
      </c>
      <c r="P167" s="20">
        <v>14923034.039999999</v>
      </c>
      <c r="Q167" s="20">
        <v>0</v>
      </c>
      <c r="R167" s="20">
        <v>0</v>
      </c>
      <c r="S167" s="20">
        <v>0</v>
      </c>
      <c r="T167" s="20">
        <f t="shared" si="2"/>
        <v>14923034.039999999</v>
      </c>
      <c r="U167" s="20" t="str">
        <f t="shared" si="3"/>
        <v>transportation_utilities</v>
      </c>
      <c r="V167" s="20" t="str">
        <f t="shared" si="4"/>
        <v>MiamiwarehouseLighting</v>
      </c>
      <c r="W167" s="20" t="str">
        <f t="shared" si="5"/>
        <v>Miamiwarehouse</v>
      </c>
    </row>
    <row r="168" spans="11:23">
      <c r="K168" s="20" t="s">
        <v>387</v>
      </c>
      <c r="L168" s="20" t="s">
        <v>452</v>
      </c>
      <c r="M168" s="20" t="s">
        <v>440</v>
      </c>
      <c r="N168" s="20">
        <v>0</v>
      </c>
      <c r="O168" s="20">
        <v>0</v>
      </c>
      <c r="P168" s="20">
        <v>260398.49</v>
      </c>
      <c r="Q168" s="20">
        <v>0</v>
      </c>
      <c r="R168" s="20">
        <v>0</v>
      </c>
      <c r="S168" s="20">
        <v>0</v>
      </c>
      <c r="T168" s="20">
        <f t="shared" si="2"/>
        <v>260398.49</v>
      </c>
      <c r="U168" s="20" t="str">
        <f t="shared" si="3"/>
        <v>transportation_utilities</v>
      </c>
      <c r="V168" s="20" t="str">
        <f t="shared" si="4"/>
        <v>MiamiwarehouseSpace_Cooling</v>
      </c>
      <c r="W168" s="20" t="str">
        <f t="shared" si="5"/>
        <v>Miamiwarehouse</v>
      </c>
    </row>
    <row r="169" spans="11:23">
      <c r="K169" s="20" t="s">
        <v>387</v>
      </c>
      <c r="L169" s="20" t="s">
        <v>452</v>
      </c>
      <c r="M169" s="20" t="s">
        <v>443</v>
      </c>
      <c r="N169" s="20">
        <v>0</v>
      </c>
      <c r="O169" s="20">
        <v>0</v>
      </c>
      <c r="P169" s="20">
        <v>1647193.53</v>
      </c>
      <c r="Q169" s="20">
        <v>3800749.5</v>
      </c>
      <c r="R169" s="20">
        <v>164551.51</v>
      </c>
      <c r="S169" s="20">
        <v>0</v>
      </c>
      <c r="T169" s="20">
        <f t="shared" si="2"/>
        <v>5612494.54</v>
      </c>
      <c r="U169" s="20" t="str">
        <f t="shared" si="3"/>
        <v>transportation_utilities</v>
      </c>
      <c r="V169" s="20" t="str">
        <f t="shared" si="4"/>
        <v>MiamiwarehouseSpace_Heating</v>
      </c>
      <c r="W169" s="20" t="str">
        <f t="shared" si="5"/>
        <v>Miamiwarehouse</v>
      </c>
    </row>
    <row r="170" spans="11:23">
      <c r="K170" s="20" t="s">
        <v>387</v>
      </c>
      <c r="L170" s="20" t="s">
        <v>452</v>
      </c>
      <c r="M170" s="20" t="s">
        <v>445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f t="shared" si="2"/>
        <v>0</v>
      </c>
      <c r="U170" s="20" t="str">
        <f t="shared" si="3"/>
        <v>transportation_utilities</v>
      </c>
      <c r="V170" s="20" t="str">
        <f t="shared" si="4"/>
        <v>MiamiwarehouseWater_Heating</v>
      </c>
      <c r="W170" s="20" t="str">
        <f t="shared" si="5"/>
        <v>Miamiwarehouse</v>
      </c>
    </row>
    <row r="171" spans="11:23">
      <c r="K171" s="20" t="s">
        <v>389</v>
      </c>
      <c r="L171" s="20" t="s">
        <v>428</v>
      </c>
      <c r="M171" s="20" t="s">
        <v>429</v>
      </c>
      <c r="N171" s="20">
        <v>0</v>
      </c>
      <c r="O171" s="20">
        <v>0</v>
      </c>
      <c r="P171" s="20">
        <v>51352568.689999998</v>
      </c>
      <c r="Q171" s="20">
        <v>131770965.7</v>
      </c>
      <c r="R171" s="20">
        <v>0</v>
      </c>
      <c r="S171" s="20">
        <v>0</v>
      </c>
      <c r="T171" s="20">
        <f t="shared" si="2"/>
        <v>183123534.38999999</v>
      </c>
      <c r="U171" s="20" t="str">
        <f t="shared" si="3"/>
        <v>other</v>
      </c>
      <c r="V171" s="20" t="str">
        <f t="shared" si="4"/>
        <v>MontgomeryfullservicerestaurantAux_Equip</v>
      </c>
      <c r="W171" s="20" t="str">
        <f t="shared" si="5"/>
        <v>Montgomeryfullservicerestaurant</v>
      </c>
    </row>
    <row r="172" spans="11:23">
      <c r="K172" s="20" t="s">
        <v>389</v>
      </c>
      <c r="L172" s="20" t="s">
        <v>428</v>
      </c>
      <c r="M172" s="20" t="s">
        <v>433</v>
      </c>
      <c r="N172" s="20">
        <v>0</v>
      </c>
      <c r="O172" s="20">
        <v>0</v>
      </c>
      <c r="P172" s="20">
        <v>43364709.130000003</v>
      </c>
      <c r="Q172" s="20">
        <v>0</v>
      </c>
      <c r="R172" s="20">
        <v>0</v>
      </c>
      <c r="S172" s="20">
        <v>0</v>
      </c>
      <c r="T172" s="20">
        <f t="shared" si="2"/>
        <v>43364709.130000003</v>
      </c>
      <c r="U172" s="20" t="str">
        <f t="shared" si="3"/>
        <v>other</v>
      </c>
      <c r="V172" s="20" t="str">
        <f t="shared" si="4"/>
        <v>MontgomeryfullservicerestaurantAux_Motors</v>
      </c>
      <c r="W172" s="20" t="str">
        <f t="shared" si="5"/>
        <v>Montgomeryfullservicerestaurant</v>
      </c>
    </row>
    <row r="173" spans="11:23">
      <c r="K173" s="20" t="s">
        <v>389</v>
      </c>
      <c r="L173" s="20" t="s">
        <v>428</v>
      </c>
      <c r="M173" s="20" t="s">
        <v>437</v>
      </c>
      <c r="N173" s="20">
        <v>0</v>
      </c>
      <c r="O173" s="20">
        <v>0</v>
      </c>
      <c r="P173" s="20">
        <v>19013160.710000001</v>
      </c>
      <c r="Q173" s="20">
        <v>0</v>
      </c>
      <c r="R173" s="20">
        <v>0</v>
      </c>
      <c r="S173" s="20">
        <v>0</v>
      </c>
      <c r="T173" s="20">
        <f t="shared" si="2"/>
        <v>19013160.710000001</v>
      </c>
      <c r="U173" s="20" t="str">
        <f t="shared" si="3"/>
        <v>other</v>
      </c>
      <c r="V173" s="20" t="str">
        <f t="shared" si="4"/>
        <v>MontgomeryfullservicerestaurantLighting</v>
      </c>
      <c r="W173" s="20" t="str">
        <f t="shared" si="5"/>
        <v>Montgomeryfullservicerestaurant</v>
      </c>
    </row>
    <row r="174" spans="11:23">
      <c r="K174" s="20" t="s">
        <v>389</v>
      </c>
      <c r="L174" s="20" t="s">
        <v>428</v>
      </c>
      <c r="M174" s="20" t="s">
        <v>440</v>
      </c>
      <c r="N174" s="20">
        <v>0</v>
      </c>
      <c r="O174" s="20">
        <v>0</v>
      </c>
      <c r="P174" s="20">
        <v>18183904.77</v>
      </c>
      <c r="Q174" s="20">
        <v>0</v>
      </c>
      <c r="R174" s="20">
        <v>0</v>
      </c>
      <c r="S174" s="20">
        <v>0</v>
      </c>
      <c r="T174" s="20">
        <f t="shared" si="2"/>
        <v>18183904.77</v>
      </c>
      <c r="U174" s="20" t="str">
        <f t="shared" si="3"/>
        <v>other</v>
      </c>
      <c r="V174" s="20" t="str">
        <f t="shared" si="4"/>
        <v>MontgomeryfullservicerestaurantSpace_Cooling</v>
      </c>
      <c r="W174" s="20" t="str">
        <f t="shared" si="5"/>
        <v>Montgomeryfullservicerestaurant</v>
      </c>
    </row>
    <row r="175" spans="11:23">
      <c r="K175" s="20" t="s">
        <v>389</v>
      </c>
      <c r="L175" s="20" t="s">
        <v>428</v>
      </c>
      <c r="M175" s="20" t="s">
        <v>443</v>
      </c>
      <c r="N175" s="20">
        <v>0</v>
      </c>
      <c r="O175" s="20">
        <v>0</v>
      </c>
      <c r="P175" s="20">
        <v>5241383.55</v>
      </c>
      <c r="Q175" s="20">
        <v>76645160.290000007</v>
      </c>
      <c r="R175" s="20">
        <v>0</v>
      </c>
      <c r="S175" s="20">
        <v>0</v>
      </c>
      <c r="T175" s="20">
        <f t="shared" si="2"/>
        <v>81886543.840000004</v>
      </c>
      <c r="U175" s="20" t="str">
        <f t="shared" si="3"/>
        <v>other</v>
      </c>
      <c r="V175" s="20" t="str">
        <f t="shared" si="4"/>
        <v>MontgomeryfullservicerestaurantSpace_Heating</v>
      </c>
      <c r="W175" s="20" t="str">
        <f t="shared" si="5"/>
        <v>Montgomeryfullservicerestaurant</v>
      </c>
    </row>
    <row r="176" spans="11:23">
      <c r="K176" s="20" t="s">
        <v>389</v>
      </c>
      <c r="L176" s="20" t="s">
        <v>428</v>
      </c>
      <c r="M176" s="20" t="s">
        <v>445</v>
      </c>
      <c r="N176" s="20">
        <v>0</v>
      </c>
      <c r="O176" s="20">
        <v>0</v>
      </c>
      <c r="P176" s="20">
        <v>20330252.510000002</v>
      </c>
      <c r="Q176" s="20">
        <v>66143752.159999996</v>
      </c>
      <c r="R176" s="20">
        <v>6374073.3700000001</v>
      </c>
      <c r="S176" s="20">
        <v>0</v>
      </c>
      <c r="T176" s="20">
        <f t="shared" si="2"/>
        <v>92848078.040000007</v>
      </c>
      <c r="U176" s="20" t="str">
        <f t="shared" si="3"/>
        <v>other</v>
      </c>
      <c r="V176" s="20" t="str">
        <f t="shared" si="4"/>
        <v>MontgomeryfullservicerestaurantWater_Heating</v>
      </c>
      <c r="W176" s="20" t="str">
        <f t="shared" si="5"/>
        <v>Montgomeryfullservicerestaurant</v>
      </c>
    </row>
    <row r="177" spans="11:23">
      <c r="K177" s="20" t="s">
        <v>389</v>
      </c>
      <c r="L177" s="20" t="s">
        <v>449</v>
      </c>
      <c r="M177" s="20" t="s">
        <v>429</v>
      </c>
      <c r="N177" s="20">
        <v>0</v>
      </c>
      <c r="O177" s="20">
        <v>0</v>
      </c>
      <c r="P177" s="20">
        <v>61298112.630000003</v>
      </c>
      <c r="Q177" s="20">
        <v>7422599.8499999996</v>
      </c>
      <c r="R177" s="20">
        <v>0</v>
      </c>
      <c r="S177" s="20">
        <v>0</v>
      </c>
      <c r="T177" s="20">
        <f t="shared" si="2"/>
        <v>68720712.480000004</v>
      </c>
      <c r="U177" s="20" t="str">
        <f t="shared" si="3"/>
        <v/>
      </c>
      <c r="V177" s="20" t="str">
        <f t="shared" si="4"/>
        <v>MontgomeryhospitalAux_Equip</v>
      </c>
      <c r="W177" s="20" t="str">
        <f t="shared" si="5"/>
        <v>Montgomeryhospital</v>
      </c>
    </row>
    <row r="178" spans="11:23">
      <c r="K178" s="20" t="s">
        <v>389</v>
      </c>
      <c r="L178" s="20" t="s">
        <v>449</v>
      </c>
      <c r="M178" s="20" t="s">
        <v>433</v>
      </c>
      <c r="N178" s="20">
        <v>0</v>
      </c>
      <c r="O178" s="20">
        <v>0</v>
      </c>
      <c r="P178" s="20">
        <v>47813314.880000003</v>
      </c>
      <c r="Q178" s="20">
        <v>0</v>
      </c>
      <c r="R178" s="20">
        <v>0</v>
      </c>
      <c r="S178" s="20">
        <v>0</v>
      </c>
      <c r="T178" s="20">
        <f t="shared" si="2"/>
        <v>47813314.880000003</v>
      </c>
      <c r="U178" s="20" t="str">
        <f t="shared" si="3"/>
        <v/>
      </c>
      <c r="V178" s="20" t="str">
        <f t="shared" si="4"/>
        <v>MontgomeryhospitalAux_Motors</v>
      </c>
      <c r="W178" s="20" t="str">
        <f t="shared" si="5"/>
        <v>Montgomeryhospital</v>
      </c>
    </row>
    <row r="179" spans="11:23">
      <c r="K179" s="20" t="s">
        <v>389</v>
      </c>
      <c r="L179" s="20" t="s">
        <v>449</v>
      </c>
      <c r="M179" s="20" t="s">
        <v>437</v>
      </c>
      <c r="N179" s="20">
        <v>0</v>
      </c>
      <c r="O179" s="20">
        <v>0</v>
      </c>
      <c r="P179" s="20">
        <v>27975602.449999999</v>
      </c>
      <c r="Q179" s="20">
        <v>0</v>
      </c>
      <c r="R179" s="20">
        <v>0</v>
      </c>
      <c r="S179" s="20">
        <v>0</v>
      </c>
      <c r="T179" s="20">
        <f t="shared" si="2"/>
        <v>27975602.449999999</v>
      </c>
      <c r="U179" s="20" t="str">
        <f t="shared" si="3"/>
        <v/>
      </c>
      <c r="V179" s="20" t="str">
        <f t="shared" si="4"/>
        <v>MontgomeryhospitalLighting</v>
      </c>
      <c r="W179" s="20" t="str">
        <f t="shared" si="5"/>
        <v>Montgomeryhospital</v>
      </c>
    </row>
    <row r="180" spans="11:23">
      <c r="K180" s="20" t="s">
        <v>389</v>
      </c>
      <c r="L180" s="20" t="s">
        <v>449</v>
      </c>
      <c r="M180" s="20" t="s">
        <v>440</v>
      </c>
      <c r="N180" s="20">
        <v>0</v>
      </c>
      <c r="O180" s="20">
        <v>0</v>
      </c>
      <c r="P180" s="20">
        <v>24483656.91</v>
      </c>
      <c r="Q180" s="20">
        <v>0</v>
      </c>
      <c r="R180" s="20">
        <v>0</v>
      </c>
      <c r="S180" s="20">
        <v>0</v>
      </c>
      <c r="T180" s="20">
        <f t="shared" si="2"/>
        <v>24483656.91</v>
      </c>
      <c r="U180" s="20" t="str">
        <f t="shared" si="3"/>
        <v/>
      </c>
      <c r="V180" s="20" t="str">
        <f t="shared" si="4"/>
        <v>MontgomeryhospitalSpace_Cooling</v>
      </c>
      <c r="W180" s="20" t="str">
        <f t="shared" si="5"/>
        <v>Montgomeryhospital</v>
      </c>
    </row>
    <row r="181" spans="11:23">
      <c r="K181" s="20" t="s">
        <v>389</v>
      </c>
      <c r="L181" s="20" t="s">
        <v>449</v>
      </c>
      <c r="M181" s="20" t="s">
        <v>443</v>
      </c>
      <c r="N181" s="20">
        <v>0</v>
      </c>
      <c r="O181" s="20">
        <v>0</v>
      </c>
      <c r="P181" s="20">
        <v>212010.79</v>
      </c>
      <c r="Q181" s="20">
        <v>44264338.780000001</v>
      </c>
      <c r="R181" s="20">
        <v>0</v>
      </c>
      <c r="S181" s="20">
        <v>0</v>
      </c>
      <c r="T181" s="20">
        <f t="shared" si="2"/>
        <v>44476349.57</v>
      </c>
      <c r="U181" s="20" t="str">
        <f t="shared" si="3"/>
        <v/>
      </c>
      <c r="V181" s="20" t="str">
        <f t="shared" si="4"/>
        <v>MontgomeryhospitalSpace_Heating</v>
      </c>
      <c r="W181" s="20" t="str">
        <f t="shared" si="5"/>
        <v>Montgomeryhospital</v>
      </c>
    </row>
    <row r="182" spans="11:23">
      <c r="K182" s="20" t="s">
        <v>389</v>
      </c>
      <c r="L182" s="20" t="s">
        <v>449</v>
      </c>
      <c r="M182" s="20" t="s">
        <v>445</v>
      </c>
      <c r="N182" s="20">
        <v>0</v>
      </c>
      <c r="O182" s="20">
        <v>0</v>
      </c>
      <c r="P182" s="20">
        <v>7366296.8899999997</v>
      </c>
      <c r="Q182" s="20">
        <v>11360947.210000001</v>
      </c>
      <c r="R182" s="20">
        <v>0</v>
      </c>
      <c r="S182" s="20">
        <v>0</v>
      </c>
      <c r="T182" s="20">
        <f t="shared" si="2"/>
        <v>18727244.100000001</v>
      </c>
      <c r="U182" s="20" t="str">
        <f t="shared" si="3"/>
        <v/>
      </c>
      <c r="V182" s="20" t="str">
        <f t="shared" si="4"/>
        <v>MontgomeryhospitalWater_Heating</v>
      </c>
      <c r="W182" s="20" t="str">
        <f t="shared" si="5"/>
        <v>Montgomeryhospital</v>
      </c>
    </row>
    <row r="183" spans="11:23">
      <c r="K183" s="20" t="s">
        <v>389</v>
      </c>
      <c r="L183" s="20" t="s">
        <v>458</v>
      </c>
      <c r="M183" s="20" t="s">
        <v>429</v>
      </c>
      <c r="N183" s="20">
        <v>0</v>
      </c>
      <c r="O183" s="20">
        <v>0</v>
      </c>
      <c r="P183" s="20">
        <v>4714358.32</v>
      </c>
      <c r="Q183" s="20">
        <v>3827521.06</v>
      </c>
      <c r="R183" s="20">
        <v>0</v>
      </c>
      <c r="S183" s="20">
        <v>0</v>
      </c>
      <c r="T183" s="20">
        <f t="shared" si="2"/>
        <v>8541879.3800000008</v>
      </c>
      <c r="U183" s="20" t="str">
        <f t="shared" si="3"/>
        <v/>
      </c>
      <c r="V183" s="20" t="str">
        <f t="shared" si="4"/>
        <v>MontgomerylargehotelAux_Equip</v>
      </c>
      <c r="W183" s="20" t="str">
        <f t="shared" si="5"/>
        <v>Montgomerylargehotel</v>
      </c>
    </row>
    <row r="184" spans="11:23">
      <c r="K184" s="20" t="s">
        <v>389</v>
      </c>
      <c r="L184" s="20" t="s">
        <v>458</v>
      </c>
      <c r="M184" s="20" t="s">
        <v>433</v>
      </c>
      <c r="N184" s="20">
        <v>0</v>
      </c>
      <c r="O184" s="20">
        <v>0</v>
      </c>
      <c r="P184" s="20">
        <v>1675449.45</v>
      </c>
      <c r="Q184" s="20">
        <v>0</v>
      </c>
      <c r="R184" s="20">
        <v>0</v>
      </c>
      <c r="S184" s="20">
        <v>0</v>
      </c>
      <c r="T184" s="20">
        <f t="shared" si="2"/>
        <v>1675449.45</v>
      </c>
      <c r="U184" s="20" t="str">
        <f t="shared" si="3"/>
        <v/>
      </c>
      <c r="V184" s="20" t="str">
        <f t="shared" si="4"/>
        <v>MontgomerylargehotelAux_Motors</v>
      </c>
      <c r="W184" s="20" t="str">
        <f t="shared" si="5"/>
        <v>Montgomerylargehotel</v>
      </c>
    </row>
    <row r="185" spans="11:23">
      <c r="K185" s="20" t="s">
        <v>389</v>
      </c>
      <c r="L185" s="20" t="s">
        <v>458</v>
      </c>
      <c r="M185" s="20" t="s">
        <v>437</v>
      </c>
      <c r="N185" s="20">
        <v>0</v>
      </c>
      <c r="O185" s="20">
        <v>0</v>
      </c>
      <c r="P185" s="20">
        <v>2362470.9</v>
      </c>
      <c r="Q185" s="20">
        <v>0</v>
      </c>
      <c r="R185" s="20">
        <v>0</v>
      </c>
      <c r="S185" s="20">
        <v>0</v>
      </c>
      <c r="T185" s="20">
        <f t="shared" si="2"/>
        <v>2362470.9</v>
      </c>
      <c r="U185" s="20" t="str">
        <f t="shared" si="3"/>
        <v/>
      </c>
      <c r="V185" s="20" t="str">
        <f t="shared" si="4"/>
        <v>MontgomerylargehotelLighting</v>
      </c>
      <c r="W185" s="20" t="str">
        <f t="shared" si="5"/>
        <v>Montgomerylargehotel</v>
      </c>
    </row>
    <row r="186" spans="11:23">
      <c r="K186" s="20" t="s">
        <v>389</v>
      </c>
      <c r="L186" s="20" t="s">
        <v>458</v>
      </c>
      <c r="M186" s="20" t="s">
        <v>440</v>
      </c>
      <c r="N186" s="20">
        <v>0</v>
      </c>
      <c r="O186" s="20">
        <v>0</v>
      </c>
      <c r="P186" s="20">
        <v>2998457.57</v>
      </c>
      <c r="Q186" s="20">
        <v>0</v>
      </c>
      <c r="R186" s="20">
        <v>0</v>
      </c>
      <c r="S186" s="20">
        <v>0</v>
      </c>
      <c r="T186" s="20">
        <f t="shared" si="2"/>
        <v>2998457.57</v>
      </c>
      <c r="U186" s="20" t="str">
        <f t="shared" si="3"/>
        <v/>
      </c>
      <c r="V186" s="20" t="str">
        <f t="shared" si="4"/>
        <v>MontgomerylargehotelSpace_Cooling</v>
      </c>
      <c r="W186" s="20" t="str">
        <f t="shared" si="5"/>
        <v>Montgomerylargehotel</v>
      </c>
    </row>
    <row r="187" spans="11:23">
      <c r="K187" s="20" t="s">
        <v>389</v>
      </c>
      <c r="L187" s="20" t="s">
        <v>458</v>
      </c>
      <c r="M187" s="20" t="s">
        <v>443</v>
      </c>
      <c r="N187" s="20">
        <v>0</v>
      </c>
      <c r="O187" s="20">
        <v>0</v>
      </c>
      <c r="P187" s="20">
        <v>0</v>
      </c>
      <c r="Q187" s="20">
        <v>1859517.67</v>
      </c>
      <c r="R187" s="20">
        <v>0</v>
      </c>
      <c r="S187" s="20">
        <v>0</v>
      </c>
      <c r="T187" s="20">
        <f t="shared" si="2"/>
        <v>1859517.67</v>
      </c>
      <c r="U187" s="20" t="str">
        <f t="shared" si="3"/>
        <v/>
      </c>
      <c r="V187" s="20" t="str">
        <f t="shared" si="4"/>
        <v>MontgomerylargehotelSpace_Heating</v>
      </c>
      <c r="W187" s="20" t="str">
        <f t="shared" si="5"/>
        <v>Montgomerylargehotel</v>
      </c>
    </row>
    <row r="188" spans="11:23">
      <c r="K188" s="20" t="s">
        <v>389</v>
      </c>
      <c r="L188" s="20" t="s">
        <v>458</v>
      </c>
      <c r="M188" s="20" t="s">
        <v>445</v>
      </c>
      <c r="N188" s="20">
        <v>0</v>
      </c>
      <c r="O188" s="20">
        <v>0</v>
      </c>
      <c r="P188" s="20">
        <v>2565094.08</v>
      </c>
      <c r="Q188" s="20">
        <v>2407412.34</v>
      </c>
      <c r="R188" s="20">
        <v>0</v>
      </c>
      <c r="S188" s="20">
        <v>0</v>
      </c>
      <c r="T188" s="20">
        <f t="shared" si="2"/>
        <v>4972506.42</v>
      </c>
      <c r="U188" s="20" t="str">
        <f t="shared" si="3"/>
        <v/>
      </c>
      <c r="V188" s="20" t="str">
        <f t="shared" si="4"/>
        <v>MontgomerylargehotelWater_Heating</v>
      </c>
      <c r="W188" s="20" t="str">
        <f t="shared" si="5"/>
        <v>Montgomerylargehotel</v>
      </c>
    </row>
    <row r="189" spans="11:23">
      <c r="K189" s="20" t="s">
        <v>389</v>
      </c>
      <c r="L189" s="20" t="s">
        <v>460</v>
      </c>
      <c r="M189" s="20" t="s">
        <v>429</v>
      </c>
      <c r="N189" s="20">
        <v>0</v>
      </c>
      <c r="O189" s="20">
        <v>0</v>
      </c>
      <c r="P189" s="20">
        <v>32057623.600000001</v>
      </c>
      <c r="Q189" s="20">
        <v>0</v>
      </c>
      <c r="R189" s="20">
        <v>0</v>
      </c>
      <c r="S189" s="20">
        <v>0</v>
      </c>
      <c r="T189" s="20">
        <f t="shared" si="2"/>
        <v>32057623.600000001</v>
      </c>
      <c r="U189" s="20" t="str">
        <f t="shared" si="3"/>
        <v/>
      </c>
      <c r="V189" s="20" t="str">
        <f t="shared" si="4"/>
        <v>MontgomerylargeofficeAux_Equip</v>
      </c>
      <c r="W189" s="20" t="str">
        <f t="shared" si="5"/>
        <v>Montgomerylargeoffice</v>
      </c>
    </row>
    <row r="190" spans="11:23">
      <c r="K190" s="20" t="s">
        <v>389</v>
      </c>
      <c r="L190" s="20" t="s">
        <v>460</v>
      </c>
      <c r="M190" s="20" t="s">
        <v>433</v>
      </c>
      <c r="N190" s="20">
        <v>0</v>
      </c>
      <c r="O190" s="20">
        <v>0</v>
      </c>
      <c r="P190" s="20">
        <v>21710536.170000002</v>
      </c>
      <c r="Q190" s="20">
        <v>0</v>
      </c>
      <c r="R190" s="20">
        <v>0</v>
      </c>
      <c r="S190" s="20">
        <v>0</v>
      </c>
      <c r="T190" s="20">
        <f t="shared" si="2"/>
        <v>21710536.170000002</v>
      </c>
      <c r="U190" s="20" t="str">
        <f t="shared" si="3"/>
        <v/>
      </c>
      <c r="V190" s="20" t="str">
        <f t="shared" si="4"/>
        <v>MontgomerylargeofficeAux_Motors</v>
      </c>
      <c r="W190" s="20" t="str">
        <f t="shared" si="5"/>
        <v>Montgomerylargeoffice</v>
      </c>
    </row>
    <row r="191" spans="11:23">
      <c r="K191" s="20" t="s">
        <v>389</v>
      </c>
      <c r="L191" s="20" t="s">
        <v>460</v>
      </c>
      <c r="M191" s="20" t="s">
        <v>437</v>
      </c>
      <c r="N191" s="20">
        <v>0</v>
      </c>
      <c r="O191" s="20">
        <v>0</v>
      </c>
      <c r="P191" s="20">
        <v>14708060.76</v>
      </c>
      <c r="Q191" s="20">
        <v>0</v>
      </c>
      <c r="R191" s="20">
        <v>0</v>
      </c>
      <c r="S191" s="20">
        <v>0</v>
      </c>
      <c r="T191" s="20">
        <f t="shared" si="2"/>
        <v>14708060.76</v>
      </c>
      <c r="U191" s="20" t="str">
        <f t="shared" si="3"/>
        <v/>
      </c>
      <c r="V191" s="20" t="str">
        <f t="shared" si="4"/>
        <v>MontgomerylargeofficeLighting</v>
      </c>
      <c r="W191" s="20" t="str">
        <f t="shared" si="5"/>
        <v>Montgomerylargeoffice</v>
      </c>
    </row>
    <row r="192" spans="11:23">
      <c r="K192" s="20" t="s">
        <v>389</v>
      </c>
      <c r="L192" s="20" t="s">
        <v>460</v>
      </c>
      <c r="M192" s="20" t="s">
        <v>440</v>
      </c>
      <c r="N192" s="20">
        <v>0</v>
      </c>
      <c r="O192" s="20">
        <v>0</v>
      </c>
      <c r="P192" s="20">
        <v>17462578.789999999</v>
      </c>
      <c r="Q192" s="20">
        <v>0</v>
      </c>
      <c r="R192" s="20">
        <v>0</v>
      </c>
      <c r="S192" s="20">
        <v>0</v>
      </c>
      <c r="T192" s="20">
        <f t="shared" si="2"/>
        <v>17462578.789999999</v>
      </c>
      <c r="U192" s="20" t="str">
        <f t="shared" si="3"/>
        <v/>
      </c>
      <c r="V192" s="20" t="str">
        <f t="shared" si="4"/>
        <v>MontgomerylargeofficeSpace_Cooling</v>
      </c>
      <c r="W192" s="20" t="str">
        <f t="shared" si="5"/>
        <v>Montgomerylargeoffice</v>
      </c>
    </row>
    <row r="193" spans="11:23">
      <c r="K193" s="20" t="s">
        <v>389</v>
      </c>
      <c r="L193" s="20" t="s">
        <v>460</v>
      </c>
      <c r="M193" s="20" t="s">
        <v>443</v>
      </c>
      <c r="N193" s="20">
        <v>0</v>
      </c>
      <c r="O193" s="20">
        <v>0</v>
      </c>
      <c r="P193" s="20">
        <v>2057677.56</v>
      </c>
      <c r="Q193" s="20">
        <v>11463873.119999999</v>
      </c>
      <c r="R193" s="20">
        <v>0</v>
      </c>
      <c r="S193" s="20">
        <v>0</v>
      </c>
      <c r="T193" s="20">
        <f t="shared" si="2"/>
        <v>13521550.68</v>
      </c>
      <c r="U193" s="20" t="str">
        <f t="shared" si="3"/>
        <v/>
      </c>
      <c r="V193" s="20" t="str">
        <f t="shared" si="4"/>
        <v>MontgomerylargeofficeSpace_Heating</v>
      </c>
      <c r="W193" s="20" t="str">
        <f t="shared" si="5"/>
        <v>Montgomerylargeoffice</v>
      </c>
    </row>
    <row r="194" spans="11:23">
      <c r="K194" s="20" t="s">
        <v>389</v>
      </c>
      <c r="L194" s="20" t="s">
        <v>460</v>
      </c>
      <c r="M194" s="20" t="s">
        <v>445</v>
      </c>
      <c r="N194" s="20">
        <v>0</v>
      </c>
      <c r="O194" s="20">
        <v>0</v>
      </c>
      <c r="P194" s="20">
        <v>0</v>
      </c>
      <c r="Q194" s="20">
        <v>919690.17</v>
      </c>
      <c r="R194" s="20">
        <v>0</v>
      </c>
      <c r="S194" s="20">
        <v>0</v>
      </c>
      <c r="T194" s="20">
        <f t="shared" si="2"/>
        <v>919690.17</v>
      </c>
      <c r="U194" s="20" t="str">
        <f t="shared" si="3"/>
        <v/>
      </c>
      <c r="V194" s="20" t="str">
        <f t="shared" si="4"/>
        <v>MontgomerylargeofficeWater_Heating</v>
      </c>
      <c r="W194" s="20" t="str">
        <f t="shared" si="5"/>
        <v>Montgomerylargeoffice</v>
      </c>
    </row>
    <row r="195" spans="11:23">
      <c r="K195" s="20" t="s">
        <v>389</v>
      </c>
      <c r="L195" s="20" t="s">
        <v>434</v>
      </c>
      <c r="M195" s="20" t="s">
        <v>429</v>
      </c>
      <c r="N195" s="20">
        <v>0</v>
      </c>
      <c r="O195" s="20">
        <v>0</v>
      </c>
      <c r="P195" s="20">
        <v>52765262.009999998</v>
      </c>
      <c r="Q195" s="20">
        <v>0</v>
      </c>
      <c r="R195" s="20">
        <v>0</v>
      </c>
      <c r="S195" s="20">
        <v>0</v>
      </c>
      <c r="T195" s="20">
        <f t="shared" si="2"/>
        <v>52765262.009999998</v>
      </c>
      <c r="U195" s="20" t="str">
        <f t="shared" si="3"/>
        <v>commercial_office</v>
      </c>
      <c r="V195" s="20" t="str">
        <f t="shared" si="4"/>
        <v>MontgomerymediumofficeAux_Equip</v>
      </c>
      <c r="W195" s="20" t="str">
        <f t="shared" si="5"/>
        <v>Montgomerymediumoffice</v>
      </c>
    </row>
    <row r="196" spans="11:23">
      <c r="K196" s="20" t="s">
        <v>389</v>
      </c>
      <c r="L196" s="20" t="s">
        <v>434</v>
      </c>
      <c r="M196" s="20" t="s">
        <v>433</v>
      </c>
      <c r="N196" s="20">
        <v>0</v>
      </c>
      <c r="O196" s="20">
        <v>0</v>
      </c>
      <c r="P196" s="20">
        <v>37545294.200000003</v>
      </c>
      <c r="Q196" s="20">
        <v>0</v>
      </c>
      <c r="R196" s="20">
        <v>0</v>
      </c>
      <c r="S196" s="20">
        <v>0</v>
      </c>
      <c r="T196" s="20">
        <f t="shared" si="2"/>
        <v>37545294.200000003</v>
      </c>
      <c r="U196" s="20" t="str">
        <f t="shared" si="3"/>
        <v>commercial_office</v>
      </c>
      <c r="V196" s="20" t="str">
        <f t="shared" si="4"/>
        <v>MontgomerymediumofficeAux_Motors</v>
      </c>
      <c r="W196" s="20" t="str">
        <f t="shared" si="5"/>
        <v>Montgomerymediumoffice</v>
      </c>
    </row>
    <row r="197" spans="11:23">
      <c r="K197" s="20" t="s">
        <v>389</v>
      </c>
      <c r="L197" s="20" t="s">
        <v>434</v>
      </c>
      <c r="M197" s="20" t="s">
        <v>437</v>
      </c>
      <c r="N197" s="20">
        <v>0</v>
      </c>
      <c r="O197" s="20">
        <v>0</v>
      </c>
      <c r="P197" s="20">
        <v>16963820.699999999</v>
      </c>
      <c r="Q197" s="20">
        <v>0</v>
      </c>
      <c r="R197" s="20">
        <v>0</v>
      </c>
      <c r="S197" s="20">
        <v>0</v>
      </c>
      <c r="T197" s="20">
        <f t="shared" si="2"/>
        <v>16963820.699999999</v>
      </c>
      <c r="U197" s="20" t="str">
        <f t="shared" si="3"/>
        <v>commercial_office</v>
      </c>
      <c r="V197" s="20" t="str">
        <f t="shared" si="4"/>
        <v>MontgomerymediumofficeLighting</v>
      </c>
      <c r="W197" s="20" t="str">
        <f t="shared" si="5"/>
        <v>Montgomerymediumoffice</v>
      </c>
    </row>
    <row r="198" spans="11:23">
      <c r="K198" s="20" t="s">
        <v>389</v>
      </c>
      <c r="L198" s="20" t="s">
        <v>434</v>
      </c>
      <c r="M198" s="20" t="s">
        <v>440</v>
      </c>
      <c r="N198" s="20">
        <v>0</v>
      </c>
      <c r="O198" s="20">
        <v>0</v>
      </c>
      <c r="P198" s="20">
        <v>19741152.030000001</v>
      </c>
      <c r="Q198" s="20">
        <v>0</v>
      </c>
      <c r="R198" s="20">
        <v>0</v>
      </c>
      <c r="S198" s="20">
        <v>0</v>
      </c>
      <c r="T198" s="20">
        <f t="shared" si="2"/>
        <v>19741152.030000001</v>
      </c>
      <c r="U198" s="20" t="str">
        <f t="shared" si="3"/>
        <v>commercial_office</v>
      </c>
      <c r="V198" s="20" t="str">
        <f t="shared" si="4"/>
        <v>MontgomerymediumofficeSpace_Cooling</v>
      </c>
      <c r="W198" s="20" t="str">
        <f t="shared" si="5"/>
        <v>Montgomerymediumoffice</v>
      </c>
    </row>
    <row r="199" spans="11:23">
      <c r="K199" s="20" t="s">
        <v>389</v>
      </c>
      <c r="L199" s="20" t="s">
        <v>434</v>
      </c>
      <c r="M199" s="20" t="s">
        <v>443</v>
      </c>
      <c r="N199" s="20">
        <v>0</v>
      </c>
      <c r="O199" s="20">
        <v>0</v>
      </c>
      <c r="P199" s="20">
        <v>4907492.25</v>
      </c>
      <c r="Q199" s="20">
        <v>43727302.82</v>
      </c>
      <c r="R199" s="20">
        <v>0</v>
      </c>
      <c r="S199" s="20">
        <v>0</v>
      </c>
      <c r="T199" s="20">
        <f t="shared" si="2"/>
        <v>48634795.07</v>
      </c>
      <c r="U199" s="20" t="str">
        <f t="shared" si="3"/>
        <v>commercial_office</v>
      </c>
      <c r="V199" s="20" t="str">
        <f t="shared" si="4"/>
        <v>MontgomerymediumofficeSpace_Heating</v>
      </c>
      <c r="W199" s="20" t="str">
        <f t="shared" si="5"/>
        <v>Montgomerymediumoffice</v>
      </c>
    </row>
    <row r="200" spans="11:23">
      <c r="K200" s="20" t="s">
        <v>389</v>
      </c>
      <c r="L200" s="20" t="s">
        <v>434</v>
      </c>
      <c r="M200" s="20" t="s">
        <v>445</v>
      </c>
      <c r="N200" s="20">
        <v>0</v>
      </c>
      <c r="O200" s="20">
        <v>0</v>
      </c>
      <c r="P200" s="20">
        <v>1405218.12</v>
      </c>
      <c r="Q200" s="20">
        <v>2178969.08</v>
      </c>
      <c r="R200" s="20">
        <v>0</v>
      </c>
      <c r="S200" s="20">
        <v>0</v>
      </c>
      <c r="T200" s="20">
        <f t="shared" si="2"/>
        <v>3584187.2</v>
      </c>
      <c r="U200" s="20" t="str">
        <f t="shared" si="3"/>
        <v>commercial_office</v>
      </c>
      <c r="V200" s="20" t="str">
        <f t="shared" si="4"/>
        <v>MontgomerymediumofficeWater_Heating</v>
      </c>
      <c r="W200" s="20" t="str">
        <f t="shared" si="5"/>
        <v>Montgomerymediumoffice</v>
      </c>
    </row>
    <row r="201" spans="11:23">
      <c r="K201" s="20" t="s">
        <v>389</v>
      </c>
      <c r="L201" s="20" t="s">
        <v>461</v>
      </c>
      <c r="M201" s="20" t="s">
        <v>429</v>
      </c>
      <c r="N201" s="20">
        <v>0</v>
      </c>
      <c r="O201" s="20">
        <v>0</v>
      </c>
      <c r="P201" s="20">
        <v>107647988.8</v>
      </c>
      <c r="Q201" s="20">
        <v>18211512.57</v>
      </c>
      <c r="R201" s="20">
        <v>0</v>
      </c>
      <c r="S201" s="20">
        <v>0</v>
      </c>
      <c r="T201" s="20">
        <f t="shared" si="2"/>
        <v>125859501.37</v>
      </c>
      <c r="U201" s="20" t="str">
        <f t="shared" si="3"/>
        <v/>
      </c>
      <c r="V201" s="20" t="str">
        <f t="shared" si="4"/>
        <v>MontgomeryoutpatientAux_Equip</v>
      </c>
      <c r="W201" s="20" t="str">
        <f t="shared" si="5"/>
        <v>Montgomeryoutpatient</v>
      </c>
    </row>
    <row r="202" spans="11:23">
      <c r="K202" s="20" t="s">
        <v>389</v>
      </c>
      <c r="L202" s="20" t="s">
        <v>461</v>
      </c>
      <c r="M202" s="20" t="s">
        <v>433</v>
      </c>
      <c r="N202" s="20">
        <v>0</v>
      </c>
      <c r="O202" s="20">
        <v>0</v>
      </c>
      <c r="P202" s="20">
        <v>67392023.780000001</v>
      </c>
      <c r="Q202" s="20">
        <v>0</v>
      </c>
      <c r="R202" s="20">
        <v>0</v>
      </c>
      <c r="S202" s="20">
        <v>0</v>
      </c>
      <c r="T202" s="20">
        <f t="shared" si="2"/>
        <v>67392023.780000001</v>
      </c>
      <c r="U202" s="20" t="str">
        <f t="shared" si="3"/>
        <v/>
      </c>
      <c r="V202" s="20" t="str">
        <f t="shared" si="4"/>
        <v>MontgomeryoutpatientAux_Motors</v>
      </c>
      <c r="W202" s="20" t="str">
        <f t="shared" si="5"/>
        <v>Montgomeryoutpatient</v>
      </c>
    </row>
    <row r="203" spans="11:23">
      <c r="K203" s="20" t="s">
        <v>389</v>
      </c>
      <c r="L203" s="20" t="s">
        <v>461</v>
      </c>
      <c r="M203" s="20" t="s">
        <v>437</v>
      </c>
      <c r="N203" s="20">
        <v>0</v>
      </c>
      <c r="O203" s="20">
        <v>0</v>
      </c>
      <c r="P203" s="20">
        <v>52788174.200000003</v>
      </c>
      <c r="Q203" s="20">
        <v>0</v>
      </c>
      <c r="R203" s="20">
        <v>0</v>
      </c>
      <c r="S203" s="20">
        <v>0</v>
      </c>
      <c r="T203" s="20">
        <f t="shared" si="2"/>
        <v>52788174.200000003</v>
      </c>
      <c r="U203" s="20" t="str">
        <f t="shared" si="3"/>
        <v/>
      </c>
      <c r="V203" s="20" t="str">
        <f t="shared" si="4"/>
        <v>MontgomeryoutpatientLighting</v>
      </c>
      <c r="W203" s="20" t="str">
        <f t="shared" si="5"/>
        <v>Montgomeryoutpatient</v>
      </c>
    </row>
    <row r="204" spans="11:23">
      <c r="K204" s="20" t="s">
        <v>389</v>
      </c>
      <c r="L204" s="20" t="s">
        <v>461</v>
      </c>
      <c r="M204" s="20" t="s">
        <v>440</v>
      </c>
      <c r="N204" s="20">
        <v>0</v>
      </c>
      <c r="O204" s="20">
        <v>0</v>
      </c>
      <c r="P204" s="20">
        <v>31760865.98</v>
      </c>
      <c r="Q204" s="20">
        <v>0</v>
      </c>
      <c r="R204" s="20">
        <v>0</v>
      </c>
      <c r="S204" s="20">
        <v>0</v>
      </c>
      <c r="T204" s="20">
        <f t="shared" si="2"/>
        <v>31760865.98</v>
      </c>
      <c r="U204" s="20" t="str">
        <f t="shared" si="3"/>
        <v/>
      </c>
      <c r="V204" s="20" t="str">
        <f t="shared" si="4"/>
        <v>MontgomeryoutpatientSpace_Cooling</v>
      </c>
      <c r="W204" s="20" t="str">
        <f t="shared" si="5"/>
        <v>Montgomeryoutpatient</v>
      </c>
    </row>
    <row r="205" spans="11:23">
      <c r="K205" s="20" t="s">
        <v>389</v>
      </c>
      <c r="L205" s="20" t="s">
        <v>461</v>
      </c>
      <c r="M205" s="20" t="s">
        <v>443</v>
      </c>
      <c r="N205" s="20">
        <v>0</v>
      </c>
      <c r="O205" s="20">
        <v>0</v>
      </c>
      <c r="P205" s="20">
        <v>6809147.0099999998</v>
      </c>
      <c r="Q205" s="20">
        <v>67341275.439999998</v>
      </c>
      <c r="R205" s="20">
        <v>0</v>
      </c>
      <c r="S205" s="20">
        <v>0</v>
      </c>
      <c r="T205" s="20">
        <f t="shared" si="2"/>
        <v>74150422.450000003</v>
      </c>
      <c r="U205" s="20" t="str">
        <f t="shared" si="3"/>
        <v/>
      </c>
      <c r="V205" s="20" t="str">
        <f t="shared" si="4"/>
        <v>MontgomeryoutpatientSpace_Heating</v>
      </c>
      <c r="W205" s="20" t="str">
        <f t="shared" si="5"/>
        <v>Montgomeryoutpatient</v>
      </c>
    </row>
    <row r="206" spans="11:23">
      <c r="K206" s="20" t="s">
        <v>389</v>
      </c>
      <c r="L206" s="20" t="s">
        <v>461</v>
      </c>
      <c r="M206" s="20" t="s">
        <v>445</v>
      </c>
      <c r="N206" s="20">
        <v>0</v>
      </c>
      <c r="O206" s="20">
        <v>0</v>
      </c>
      <c r="P206" s="20">
        <v>1986875.12</v>
      </c>
      <c r="Q206" s="20">
        <v>7345410.7999999998</v>
      </c>
      <c r="R206" s="20">
        <v>0</v>
      </c>
      <c r="S206" s="20">
        <v>0</v>
      </c>
      <c r="T206" s="20">
        <f t="shared" si="2"/>
        <v>9332285.9199999999</v>
      </c>
      <c r="U206" s="20" t="str">
        <f t="shared" si="3"/>
        <v/>
      </c>
      <c r="V206" s="20" t="str">
        <f t="shared" si="4"/>
        <v>MontgomeryoutpatientWater_Heating</v>
      </c>
      <c r="W206" s="20" t="str">
        <f t="shared" si="5"/>
        <v>Montgomeryoutpatient</v>
      </c>
    </row>
    <row r="207" spans="11:23">
      <c r="K207" s="20" t="s">
        <v>389</v>
      </c>
      <c r="L207" s="20" t="s">
        <v>446</v>
      </c>
      <c r="M207" s="20" t="s">
        <v>429</v>
      </c>
      <c r="N207" s="20">
        <v>0</v>
      </c>
      <c r="O207" s="20">
        <v>0</v>
      </c>
      <c r="P207" s="20">
        <v>6312355.4299999997</v>
      </c>
      <c r="Q207" s="20">
        <v>7711843.2000000002</v>
      </c>
      <c r="R207" s="20">
        <v>0</v>
      </c>
      <c r="S207" s="20">
        <v>0</v>
      </c>
      <c r="T207" s="20">
        <f t="shared" si="2"/>
        <v>14024198.629999999</v>
      </c>
      <c r="U207" s="20" t="str">
        <f t="shared" si="3"/>
        <v>civic_education</v>
      </c>
      <c r="V207" s="20" t="str">
        <f t="shared" si="4"/>
        <v>MontgomeryprimaryschoolAux_Equip</v>
      </c>
      <c r="W207" s="20" t="str">
        <f t="shared" si="5"/>
        <v>Montgomeryprimaryschool</v>
      </c>
    </row>
    <row r="208" spans="11:23">
      <c r="K208" s="20" t="s">
        <v>389</v>
      </c>
      <c r="L208" s="20" t="s">
        <v>446</v>
      </c>
      <c r="M208" s="20" t="s">
        <v>433</v>
      </c>
      <c r="N208" s="20">
        <v>0</v>
      </c>
      <c r="O208" s="20">
        <v>0</v>
      </c>
      <c r="P208" s="20">
        <v>28323110.25</v>
      </c>
      <c r="Q208" s="20">
        <v>0</v>
      </c>
      <c r="R208" s="20">
        <v>0</v>
      </c>
      <c r="S208" s="20">
        <v>0</v>
      </c>
      <c r="T208" s="20">
        <f t="shared" si="2"/>
        <v>28323110.25</v>
      </c>
      <c r="U208" s="20" t="str">
        <f t="shared" si="3"/>
        <v>civic_education</v>
      </c>
      <c r="V208" s="20" t="str">
        <f t="shared" si="4"/>
        <v>MontgomeryprimaryschoolAux_Motors</v>
      </c>
      <c r="W208" s="20" t="str">
        <f t="shared" si="5"/>
        <v>Montgomeryprimaryschool</v>
      </c>
    </row>
    <row r="209" spans="11:23">
      <c r="K209" s="20" t="s">
        <v>389</v>
      </c>
      <c r="L209" s="20" t="s">
        <v>446</v>
      </c>
      <c r="M209" s="20" t="s">
        <v>437</v>
      </c>
      <c r="N209" s="20">
        <v>0</v>
      </c>
      <c r="O209" s="20">
        <v>0</v>
      </c>
      <c r="P209" s="20">
        <v>22502891.609999999</v>
      </c>
      <c r="Q209" s="20">
        <v>0</v>
      </c>
      <c r="R209" s="20">
        <v>0</v>
      </c>
      <c r="S209" s="20">
        <v>0</v>
      </c>
      <c r="T209" s="20">
        <f t="shared" si="2"/>
        <v>22502891.609999999</v>
      </c>
      <c r="U209" s="20" t="str">
        <f t="shared" si="3"/>
        <v>civic_education</v>
      </c>
      <c r="V209" s="20" t="str">
        <f t="shared" si="4"/>
        <v>MontgomeryprimaryschoolLighting</v>
      </c>
      <c r="W209" s="20" t="str">
        <f t="shared" si="5"/>
        <v>Montgomeryprimaryschool</v>
      </c>
    </row>
    <row r="210" spans="11:23">
      <c r="K210" s="20" t="s">
        <v>389</v>
      </c>
      <c r="L210" s="20" t="s">
        <v>446</v>
      </c>
      <c r="M210" s="20" t="s">
        <v>440</v>
      </c>
      <c r="N210" s="20">
        <v>0</v>
      </c>
      <c r="O210" s="20">
        <v>0</v>
      </c>
      <c r="P210" s="20">
        <v>10068672.66</v>
      </c>
      <c r="Q210" s="20">
        <v>0</v>
      </c>
      <c r="R210" s="20">
        <v>0</v>
      </c>
      <c r="S210" s="20">
        <v>0</v>
      </c>
      <c r="T210" s="20">
        <f t="shared" si="2"/>
        <v>10068672.66</v>
      </c>
      <c r="U210" s="20" t="str">
        <f t="shared" si="3"/>
        <v>civic_education</v>
      </c>
      <c r="V210" s="20" t="str">
        <f t="shared" si="4"/>
        <v>MontgomeryprimaryschoolSpace_Cooling</v>
      </c>
      <c r="W210" s="20" t="str">
        <f t="shared" si="5"/>
        <v>Montgomeryprimaryschool</v>
      </c>
    </row>
    <row r="211" spans="11:23">
      <c r="K211" s="20" t="s">
        <v>389</v>
      </c>
      <c r="L211" s="20" t="s">
        <v>446</v>
      </c>
      <c r="M211" s="20" t="s">
        <v>443</v>
      </c>
      <c r="N211" s="20">
        <v>0</v>
      </c>
      <c r="O211" s="20">
        <v>0</v>
      </c>
      <c r="P211" s="20">
        <v>5984826.3200000003</v>
      </c>
      <c r="Q211" s="20">
        <v>79844226.909999996</v>
      </c>
      <c r="R211" s="20">
        <v>0</v>
      </c>
      <c r="S211" s="20">
        <v>0</v>
      </c>
      <c r="T211" s="20">
        <f t="shared" si="2"/>
        <v>85829053.229999989</v>
      </c>
      <c r="U211" s="20" t="str">
        <f t="shared" si="3"/>
        <v>civic_education</v>
      </c>
      <c r="V211" s="20" t="str">
        <f t="shared" si="4"/>
        <v>MontgomeryprimaryschoolSpace_Heating</v>
      </c>
      <c r="W211" s="20" t="str">
        <f t="shared" si="5"/>
        <v>Montgomeryprimaryschool</v>
      </c>
    </row>
    <row r="212" spans="11:23">
      <c r="K212" s="20" t="s">
        <v>389</v>
      </c>
      <c r="L212" s="20" t="s">
        <v>446</v>
      </c>
      <c r="M212" s="20" t="s">
        <v>445</v>
      </c>
      <c r="N212" s="20">
        <v>0</v>
      </c>
      <c r="O212" s="20">
        <v>0</v>
      </c>
      <c r="P212" s="20">
        <v>4965583.97</v>
      </c>
      <c r="Q212" s="20">
        <v>4598783.71</v>
      </c>
      <c r="R212" s="20">
        <v>1140361.44</v>
      </c>
      <c r="S212" s="20">
        <v>0</v>
      </c>
      <c r="T212" s="20">
        <f t="shared" si="2"/>
        <v>10704729.119999999</v>
      </c>
      <c r="U212" s="20" t="str">
        <f t="shared" si="3"/>
        <v>civic_education</v>
      </c>
      <c r="V212" s="20" t="str">
        <f t="shared" si="4"/>
        <v>MontgomeryprimaryschoolWater_Heating</v>
      </c>
      <c r="W212" s="20" t="str">
        <f t="shared" si="5"/>
        <v>Montgomeryprimaryschool</v>
      </c>
    </row>
    <row r="213" spans="11:23">
      <c r="K213" s="20" t="s">
        <v>389</v>
      </c>
      <c r="L213" s="20" t="s">
        <v>457</v>
      </c>
      <c r="M213" s="20" t="s">
        <v>429</v>
      </c>
      <c r="N213" s="20">
        <v>0</v>
      </c>
      <c r="O213" s="20">
        <v>0</v>
      </c>
      <c r="P213" s="20">
        <v>15242892.310000001</v>
      </c>
      <c r="Q213" s="20">
        <v>64632851.079999998</v>
      </c>
      <c r="R213" s="20">
        <v>0</v>
      </c>
      <c r="S213" s="20">
        <v>0</v>
      </c>
      <c r="T213" s="20">
        <f t="shared" si="2"/>
        <v>79875743.390000001</v>
      </c>
      <c r="U213" s="20" t="str">
        <f t="shared" si="3"/>
        <v>unknown</v>
      </c>
      <c r="V213" s="20" t="str">
        <f t="shared" si="4"/>
        <v>MontgomeryquickservicerestaurantAux_Equip</v>
      </c>
      <c r="W213" s="20" t="str">
        <f t="shared" si="5"/>
        <v>Montgomeryquickservicerestaurant</v>
      </c>
    </row>
    <row r="214" spans="11:23">
      <c r="K214" s="20" t="s">
        <v>389</v>
      </c>
      <c r="L214" s="20" t="s">
        <v>457</v>
      </c>
      <c r="M214" s="20" t="s">
        <v>433</v>
      </c>
      <c r="N214" s="20">
        <v>0</v>
      </c>
      <c r="O214" s="20">
        <v>0</v>
      </c>
      <c r="P214" s="20">
        <v>17206222.620000001</v>
      </c>
      <c r="Q214" s="20">
        <v>0</v>
      </c>
      <c r="R214" s="20">
        <v>0</v>
      </c>
      <c r="S214" s="20">
        <v>0</v>
      </c>
      <c r="T214" s="20">
        <f t="shared" si="2"/>
        <v>17206222.620000001</v>
      </c>
      <c r="U214" s="20" t="str">
        <f t="shared" si="3"/>
        <v>unknown</v>
      </c>
      <c r="V214" s="20" t="str">
        <f t="shared" si="4"/>
        <v>MontgomeryquickservicerestaurantAux_Motors</v>
      </c>
      <c r="W214" s="20" t="str">
        <f t="shared" si="5"/>
        <v>Montgomeryquickservicerestaurant</v>
      </c>
    </row>
    <row r="215" spans="11:23">
      <c r="K215" s="20" t="s">
        <v>389</v>
      </c>
      <c r="L215" s="20" t="s">
        <v>457</v>
      </c>
      <c r="M215" s="20" t="s">
        <v>437</v>
      </c>
      <c r="N215" s="20">
        <v>0</v>
      </c>
      <c r="O215" s="20">
        <v>0</v>
      </c>
      <c r="P215" s="20">
        <v>8302904.2199999997</v>
      </c>
      <c r="Q215" s="20">
        <v>0</v>
      </c>
      <c r="R215" s="20">
        <v>0</v>
      </c>
      <c r="S215" s="20">
        <v>0</v>
      </c>
      <c r="T215" s="20">
        <f t="shared" si="2"/>
        <v>8302904.2199999997</v>
      </c>
      <c r="U215" s="20" t="str">
        <f t="shared" si="3"/>
        <v>unknown</v>
      </c>
      <c r="V215" s="20" t="str">
        <f t="shared" si="4"/>
        <v>MontgomeryquickservicerestaurantLighting</v>
      </c>
      <c r="W215" s="20" t="str">
        <f t="shared" si="5"/>
        <v>Montgomeryquickservicerestaurant</v>
      </c>
    </row>
    <row r="216" spans="11:23">
      <c r="K216" s="20" t="s">
        <v>389</v>
      </c>
      <c r="L216" s="20" t="s">
        <v>457</v>
      </c>
      <c r="M216" s="20" t="s">
        <v>440</v>
      </c>
      <c r="N216" s="20">
        <v>0</v>
      </c>
      <c r="O216" s="20">
        <v>0</v>
      </c>
      <c r="P216" s="20">
        <v>5097629.95</v>
      </c>
      <c r="Q216" s="20">
        <v>0</v>
      </c>
      <c r="R216" s="20">
        <v>0</v>
      </c>
      <c r="S216" s="20">
        <v>0</v>
      </c>
      <c r="T216" s="20">
        <f t="shared" si="2"/>
        <v>5097629.95</v>
      </c>
      <c r="U216" s="20" t="str">
        <f t="shared" si="3"/>
        <v>unknown</v>
      </c>
      <c r="V216" s="20" t="str">
        <f t="shared" si="4"/>
        <v>MontgomeryquickservicerestaurantSpace_Cooling</v>
      </c>
      <c r="W216" s="20" t="str">
        <f t="shared" si="5"/>
        <v>Montgomeryquickservicerestaurant</v>
      </c>
    </row>
    <row r="217" spans="11:23">
      <c r="K217" s="20" t="s">
        <v>389</v>
      </c>
      <c r="L217" s="20" t="s">
        <v>457</v>
      </c>
      <c r="M217" s="20" t="s">
        <v>443</v>
      </c>
      <c r="N217" s="20">
        <v>0</v>
      </c>
      <c r="O217" s="20">
        <v>0</v>
      </c>
      <c r="P217" s="20">
        <v>1787506.48</v>
      </c>
      <c r="Q217" s="20">
        <v>34876180.229999997</v>
      </c>
      <c r="R217" s="20">
        <v>0</v>
      </c>
      <c r="S217" s="20">
        <v>0</v>
      </c>
      <c r="T217" s="20">
        <f t="shared" si="2"/>
        <v>36663686.709999993</v>
      </c>
      <c r="U217" s="20" t="str">
        <f t="shared" si="3"/>
        <v>unknown</v>
      </c>
      <c r="V217" s="20" t="str">
        <f t="shared" si="4"/>
        <v>MontgomeryquickservicerestaurantSpace_Heating</v>
      </c>
      <c r="W217" s="20" t="str">
        <f t="shared" si="5"/>
        <v>Montgomeryquickservicerestaurant</v>
      </c>
    </row>
    <row r="218" spans="11:23">
      <c r="K218" s="20" t="s">
        <v>389</v>
      </c>
      <c r="L218" s="20" t="s">
        <v>457</v>
      </c>
      <c r="M218" s="20" t="s">
        <v>445</v>
      </c>
      <c r="N218" s="20">
        <v>0</v>
      </c>
      <c r="O218" s="20">
        <v>0</v>
      </c>
      <c r="P218" s="20">
        <v>958637.59</v>
      </c>
      <c r="Q218" s="20">
        <v>7664970.6100000003</v>
      </c>
      <c r="R218" s="20">
        <v>0</v>
      </c>
      <c r="S218" s="20">
        <v>0</v>
      </c>
      <c r="T218" s="20">
        <f t="shared" si="2"/>
        <v>8623608.2000000011</v>
      </c>
      <c r="U218" s="20" t="str">
        <f t="shared" si="3"/>
        <v>unknown</v>
      </c>
      <c r="V218" s="20" t="str">
        <f t="shared" si="4"/>
        <v>MontgomeryquickservicerestaurantWater_Heating</v>
      </c>
      <c r="W218" s="20" t="str">
        <f t="shared" si="5"/>
        <v>Montgomeryquickservicerestaurant</v>
      </c>
    </row>
    <row r="219" spans="11:23">
      <c r="K219" s="20" t="s">
        <v>389</v>
      </c>
      <c r="L219" s="20" t="s">
        <v>430</v>
      </c>
      <c r="M219" s="20" t="s">
        <v>429</v>
      </c>
      <c r="N219" s="20">
        <v>0</v>
      </c>
      <c r="O219" s="20">
        <v>0</v>
      </c>
      <c r="P219" s="20">
        <v>16396134.57</v>
      </c>
      <c r="Q219" s="20">
        <v>0</v>
      </c>
      <c r="R219" s="20">
        <v>0</v>
      </c>
      <c r="S219" s="20">
        <v>0</v>
      </c>
      <c r="T219" s="20">
        <f t="shared" si="2"/>
        <v>16396134.57</v>
      </c>
      <c r="U219" s="20" t="str">
        <f t="shared" si="3"/>
        <v>commercial_retail</v>
      </c>
      <c r="V219" s="20" t="str">
        <f t="shared" si="4"/>
        <v>MontgomeryretailstandaloneAux_Equip</v>
      </c>
      <c r="W219" s="20" t="str">
        <f t="shared" si="5"/>
        <v>Montgomeryretailstandalone</v>
      </c>
    </row>
    <row r="220" spans="11:23">
      <c r="K220" s="20" t="s">
        <v>389</v>
      </c>
      <c r="L220" s="20" t="s">
        <v>430</v>
      </c>
      <c r="M220" s="20" t="s">
        <v>433</v>
      </c>
      <c r="N220" s="20">
        <v>0</v>
      </c>
      <c r="O220" s="20">
        <v>0</v>
      </c>
      <c r="P220" s="20">
        <v>25605681.100000001</v>
      </c>
      <c r="Q220" s="20">
        <v>0</v>
      </c>
      <c r="R220" s="20">
        <v>0</v>
      </c>
      <c r="S220" s="20">
        <v>0</v>
      </c>
      <c r="T220" s="20">
        <f t="shared" si="2"/>
        <v>25605681.100000001</v>
      </c>
      <c r="U220" s="20" t="str">
        <f t="shared" si="3"/>
        <v>commercial_retail</v>
      </c>
      <c r="V220" s="20" t="str">
        <f t="shared" si="4"/>
        <v>MontgomeryretailstandaloneAux_Motors</v>
      </c>
      <c r="W220" s="20" t="str">
        <f t="shared" si="5"/>
        <v>Montgomeryretailstandalone</v>
      </c>
    </row>
    <row r="221" spans="11:23">
      <c r="K221" s="20" t="s">
        <v>389</v>
      </c>
      <c r="L221" s="20" t="s">
        <v>430</v>
      </c>
      <c r="M221" s="20" t="s">
        <v>437</v>
      </c>
      <c r="N221" s="20">
        <v>0</v>
      </c>
      <c r="O221" s="20">
        <v>0</v>
      </c>
      <c r="P221" s="20">
        <v>71297974.540000007</v>
      </c>
      <c r="Q221" s="20">
        <v>0</v>
      </c>
      <c r="R221" s="20">
        <v>0</v>
      </c>
      <c r="S221" s="20">
        <v>0</v>
      </c>
      <c r="T221" s="20">
        <f t="shared" si="2"/>
        <v>71297974.540000007</v>
      </c>
      <c r="U221" s="20" t="str">
        <f t="shared" si="3"/>
        <v>commercial_retail</v>
      </c>
      <c r="V221" s="20" t="str">
        <f t="shared" si="4"/>
        <v>MontgomeryretailstandaloneLighting</v>
      </c>
      <c r="W221" s="20" t="str">
        <f t="shared" si="5"/>
        <v>Montgomeryretailstandalone</v>
      </c>
    </row>
    <row r="222" spans="11:23">
      <c r="K222" s="20" t="s">
        <v>389</v>
      </c>
      <c r="L222" s="20" t="s">
        <v>430</v>
      </c>
      <c r="M222" s="20" t="s">
        <v>440</v>
      </c>
      <c r="N222" s="20">
        <v>0</v>
      </c>
      <c r="O222" s="20">
        <v>0</v>
      </c>
      <c r="P222" s="20">
        <v>14341193.18</v>
      </c>
      <c r="Q222" s="20">
        <v>0</v>
      </c>
      <c r="R222" s="20">
        <v>0</v>
      </c>
      <c r="S222" s="20">
        <v>0</v>
      </c>
      <c r="T222" s="20">
        <f t="shared" si="2"/>
        <v>14341193.18</v>
      </c>
      <c r="U222" s="20" t="str">
        <f t="shared" si="3"/>
        <v>commercial_retail</v>
      </c>
      <c r="V222" s="20" t="str">
        <f t="shared" si="4"/>
        <v>MontgomeryretailstandaloneSpace_Cooling</v>
      </c>
      <c r="W222" s="20" t="str">
        <f t="shared" si="5"/>
        <v>Montgomeryretailstandalone</v>
      </c>
    </row>
    <row r="223" spans="11:23">
      <c r="K223" s="20" t="s">
        <v>389</v>
      </c>
      <c r="L223" s="20" t="s">
        <v>430</v>
      </c>
      <c r="M223" s="20" t="s">
        <v>443</v>
      </c>
      <c r="N223" s="20">
        <v>0</v>
      </c>
      <c r="O223" s="20">
        <v>0</v>
      </c>
      <c r="P223" s="20">
        <v>6118062.5899999999</v>
      </c>
      <c r="Q223" s="20">
        <v>80459996.890000001</v>
      </c>
      <c r="R223" s="20">
        <v>3016137.19</v>
      </c>
      <c r="S223" s="20">
        <v>0</v>
      </c>
      <c r="T223" s="20">
        <f t="shared" si="2"/>
        <v>89594196.670000002</v>
      </c>
      <c r="U223" s="20" t="str">
        <f t="shared" si="3"/>
        <v>commercial_retail</v>
      </c>
      <c r="V223" s="20" t="str">
        <f t="shared" si="4"/>
        <v>MontgomeryretailstandaloneSpace_Heating</v>
      </c>
      <c r="W223" s="20" t="str">
        <f t="shared" si="5"/>
        <v>Montgomeryretailstandalone</v>
      </c>
    </row>
    <row r="224" spans="11:23">
      <c r="K224" s="20" t="s">
        <v>389</v>
      </c>
      <c r="L224" s="20" t="s">
        <v>430</v>
      </c>
      <c r="M224" s="20" t="s">
        <v>445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f t="shared" si="2"/>
        <v>0</v>
      </c>
      <c r="U224" s="20" t="str">
        <f t="shared" si="3"/>
        <v>commercial_retail</v>
      </c>
      <c r="V224" s="20" t="str">
        <f t="shared" si="4"/>
        <v>MontgomeryretailstandaloneWater_Heating</v>
      </c>
      <c r="W224" s="20" t="str">
        <f t="shared" si="5"/>
        <v>Montgomeryretailstandalone</v>
      </c>
    </row>
    <row r="225" spans="11:23">
      <c r="K225" s="20" t="s">
        <v>389</v>
      </c>
      <c r="L225" s="20" t="s">
        <v>462</v>
      </c>
      <c r="M225" s="20" t="s">
        <v>429</v>
      </c>
      <c r="N225" s="20">
        <v>0</v>
      </c>
      <c r="O225" s="20">
        <v>0</v>
      </c>
      <c r="P225" s="20">
        <v>58278312.450000003</v>
      </c>
      <c r="Q225" s="20">
        <v>90310390.680000007</v>
      </c>
      <c r="R225" s="20">
        <v>0</v>
      </c>
      <c r="S225" s="20">
        <v>0</v>
      </c>
      <c r="T225" s="20">
        <f t="shared" si="2"/>
        <v>148588703.13</v>
      </c>
      <c r="U225" s="20" t="str">
        <f t="shared" si="3"/>
        <v/>
      </c>
      <c r="V225" s="20" t="str">
        <f t="shared" si="4"/>
        <v>MontgomeryretailstripmallAux_Equip</v>
      </c>
      <c r="W225" s="20" t="str">
        <f t="shared" si="5"/>
        <v>Montgomeryretailstripmall</v>
      </c>
    </row>
    <row r="226" spans="11:23">
      <c r="K226" s="20" t="s">
        <v>389</v>
      </c>
      <c r="L226" s="20" t="s">
        <v>462</v>
      </c>
      <c r="M226" s="20" t="s">
        <v>433</v>
      </c>
      <c r="N226" s="20">
        <v>0</v>
      </c>
      <c r="O226" s="20">
        <v>0</v>
      </c>
      <c r="P226" s="20">
        <v>51539309.590000004</v>
      </c>
      <c r="Q226" s="20">
        <v>0</v>
      </c>
      <c r="R226" s="20">
        <v>0</v>
      </c>
      <c r="S226" s="20">
        <v>0</v>
      </c>
      <c r="T226" s="20">
        <f t="shared" si="2"/>
        <v>51539309.590000004</v>
      </c>
      <c r="U226" s="20" t="str">
        <f t="shared" si="3"/>
        <v/>
      </c>
      <c r="V226" s="20" t="str">
        <f t="shared" si="4"/>
        <v>MontgomeryretailstripmallAux_Motors</v>
      </c>
      <c r="W226" s="20" t="str">
        <f t="shared" si="5"/>
        <v>Montgomeryretailstripmall</v>
      </c>
    </row>
    <row r="227" spans="11:23">
      <c r="K227" s="20" t="s">
        <v>389</v>
      </c>
      <c r="L227" s="20" t="s">
        <v>462</v>
      </c>
      <c r="M227" s="20" t="s">
        <v>437</v>
      </c>
      <c r="N227" s="20">
        <v>0</v>
      </c>
      <c r="O227" s="20">
        <v>0</v>
      </c>
      <c r="P227" s="20">
        <v>93148921.090000004</v>
      </c>
      <c r="Q227" s="20">
        <v>0</v>
      </c>
      <c r="R227" s="20">
        <v>0</v>
      </c>
      <c r="S227" s="20">
        <v>0</v>
      </c>
      <c r="T227" s="20">
        <f t="shared" si="2"/>
        <v>93148921.090000004</v>
      </c>
      <c r="U227" s="20" t="str">
        <f t="shared" si="3"/>
        <v/>
      </c>
      <c r="V227" s="20" t="str">
        <f t="shared" si="4"/>
        <v>MontgomeryretailstripmallLighting</v>
      </c>
      <c r="W227" s="20" t="str">
        <f t="shared" si="5"/>
        <v>Montgomeryretailstripmall</v>
      </c>
    </row>
    <row r="228" spans="11:23">
      <c r="K228" s="20" t="s">
        <v>389</v>
      </c>
      <c r="L228" s="20" t="s">
        <v>462</v>
      </c>
      <c r="M228" s="20" t="s">
        <v>440</v>
      </c>
      <c r="N228" s="20">
        <v>0</v>
      </c>
      <c r="O228" s="20">
        <v>0</v>
      </c>
      <c r="P228" s="20">
        <v>31116833.98</v>
      </c>
      <c r="Q228" s="20">
        <v>0</v>
      </c>
      <c r="R228" s="20">
        <v>0</v>
      </c>
      <c r="S228" s="20">
        <v>0</v>
      </c>
      <c r="T228" s="20">
        <f t="shared" si="2"/>
        <v>31116833.98</v>
      </c>
      <c r="U228" s="20" t="str">
        <f t="shared" si="3"/>
        <v/>
      </c>
      <c r="V228" s="20" t="str">
        <f t="shared" si="4"/>
        <v>MontgomeryretailstripmallSpace_Cooling</v>
      </c>
      <c r="W228" s="20" t="str">
        <f t="shared" si="5"/>
        <v>Montgomeryretailstripmall</v>
      </c>
    </row>
    <row r="229" spans="11:23">
      <c r="K229" s="20" t="s">
        <v>389</v>
      </c>
      <c r="L229" s="20" t="s">
        <v>462</v>
      </c>
      <c r="M229" s="20" t="s">
        <v>443</v>
      </c>
      <c r="N229" s="20">
        <v>0</v>
      </c>
      <c r="O229" s="20">
        <v>0</v>
      </c>
      <c r="P229" s="20">
        <v>18178635.73</v>
      </c>
      <c r="Q229" s="20">
        <v>79453924.409999996</v>
      </c>
      <c r="R229" s="20">
        <v>8055640.5499999998</v>
      </c>
      <c r="S229" s="20">
        <v>0</v>
      </c>
      <c r="T229" s="20">
        <f t="shared" si="2"/>
        <v>105688200.69</v>
      </c>
      <c r="U229" s="20" t="str">
        <f t="shared" si="3"/>
        <v/>
      </c>
      <c r="V229" s="20" t="str">
        <f t="shared" si="4"/>
        <v>MontgomeryretailstripmallSpace_Heating</v>
      </c>
      <c r="W229" s="20" t="str">
        <f t="shared" si="5"/>
        <v>Montgomeryretailstripmall</v>
      </c>
    </row>
    <row r="230" spans="11:23">
      <c r="K230" s="20" t="s">
        <v>389</v>
      </c>
      <c r="L230" s="20" t="s">
        <v>462</v>
      </c>
      <c r="M230" s="20" t="s">
        <v>445</v>
      </c>
      <c r="N230" s="20">
        <v>0</v>
      </c>
      <c r="O230" s="20">
        <v>0</v>
      </c>
      <c r="P230" s="20">
        <v>29853345.329999998</v>
      </c>
      <c r="Q230" s="20">
        <v>32103686.379999999</v>
      </c>
      <c r="R230" s="20">
        <v>939298.45</v>
      </c>
      <c r="S230" s="20">
        <v>0</v>
      </c>
      <c r="T230" s="20">
        <f t="shared" si="2"/>
        <v>62896330.159999996</v>
      </c>
      <c r="U230" s="20" t="str">
        <f t="shared" si="3"/>
        <v/>
      </c>
      <c r="V230" s="20" t="str">
        <f t="shared" si="4"/>
        <v>MontgomeryretailstripmallWater_Heating</v>
      </c>
      <c r="W230" s="20" t="str">
        <f t="shared" si="5"/>
        <v>Montgomeryretailstripmall</v>
      </c>
    </row>
    <row r="231" spans="11:23">
      <c r="K231" s="20" t="s">
        <v>389</v>
      </c>
      <c r="L231" s="20" t="s">
        <v>463</v>
      </c>
      <c r="M231" s="20" t="s">
        <v>429</v>
      </c>
      <c r="N231" s="20">
        <v>0</v>
      </c>
      <c r="O231" s="20">
        <v>0</v>
      </c>
      <c r="P231" s="20">
        <v>6247251.4800000004</v>
      </c>
      <c r="Q231" s="20">
        <v>2638690.65</v>
      </c>
      <c r="R231" s="20">
        <v>0</v>
      </c>
      <c r="S231" s="20">
        <v>0</v>
      </c>
      <c r="T231" s="20">
        <f t="shared" si="2"/>
        <v>8885942.1300000008</v>
      </c>
      <c r="U231" s="20" t="str">
        <f t="shared" si="3"/>
        <v/>
      </c>
      <c r="V231" s="20" t="str">
        <f t="shared" si="4"/>
        <v>MontgomerysecondaryschoolAux_Equip</v>
      </c>
      <c r="W231" s="20" t="str">
        <f t="shared" si="5"/>
        <v>Montgomerysecondaryschool</v>
      </c>
    </row>
    <row r="232" spans="11:23">
      <c r="K232" s="20" t="s">
        <v>389</v>
      </c>
      <c r="L232" s="20" t="s">
        <v>463</v>
      </c>
      <c r="M232" s="20" t="s">
        <v>433</v>
      </c>
      <c r="N232" s="20">
        <v>0</v>
      </c>
      <c r="O232" s="20">
        <v>0</v>
      </c>
      <c r="P232" s="20">
        <v>18772974.68</v>
      </c>
      <c r="Q232" s="20">
        <v>0</v>
      </c>
      <c r="R232" s="20">
        <v>0</v>
      </c>
      <c r="S232" s="20">
        <v>0</v>
      </c>
      <c r="T232" s="20">
        <f t="shared" si="2"/>
        <v>18772974.68</v>
      </c>
      <c r="U232" s="20" t="str">
        <f t="shared" si="3"/>
        <v/>
      </c>
      <c r="V232" s="20" t="str">
        <f t="shared" si="4"/>
        <v>MontgomerysecondaryschoolAux_Motors</v>
      </c>
      <c r="W232" s="20" t="str">
        <f t="shared" si="5"/>
        <v>Montgomerysecondaryschool</v>
      </c>
    </row>
    <row r="233" spans="11:23">
      <c r="K233" s="20" t="s">
        <v>389</v>
      </c>
      <c r="L233" s="20" t="s">
        <v>463</v>
      </c>
      <c r="M233" s="20" t="s">
        <v>437</v>
      </c>
      <c r="N233" s="20">
        <v>0</v>
      </c>
      <c r="O233" s="20">
        <v>0</v>
      </c>
      <c r="P233" s="20">
        <v>16848313.030000001</v>
      </c>
      <c r="Q233" s="20">
        <v>0</v>
      </c>
      <c r="R233" s="20">
        <v>0</v>
      </c>
      <c r="S233" s="20">
        <v>0</v>
      </c>
      <c r="T233" s="20">
        <f t="shared" si="2"/>
        <v>16848313.030000001</v>
      </c>
      <c r="U233" s="20" t="str">
        <f t="shared" si="3"/>
        <v/>
      </c>
      <c r="V233" s="20" t="str">
        <f t="shared" si="4"/>
        <v>MontgomerysecondaryschoolLighting</v>
      </c>
      <c r="W233" s="20" t="str">
        <f t="shared" si="5"/>
        <v>Montgomerysecondaryschool</v>
      </c>
    </row>
    <row r="234" spans="11:23">
      <c r="K234" s="20" t="s">
        <v>389</v>
      </c>
      <c r="L234" s="20" t="s">
        <v>463</v>
      </c>
      <c r="M234" s="20" t="s">
        <v>440</v>
      </c>
      <c r="N234" s="20">
        <v>0</v>
      </c>
      <c r="O234" s="20">
        <v>0</v>
      </c>
      <c r="P234" s="20">
        <v>10776285.300000001</v>
      </c>
      <c r="Q234" s="20">
        <v>0</v>
      </c>
      <c r="R234" s="20">
        <v>0</v>
      </c>
      <c r="S234" s="20">
        <v>0</v>
      </c>
      <c r="T234" s="20">
        <f t="shared" si="2"/>
        <v>10776285.300000001</v>
      </c>
      <c r="U234" s="20" t="str">
        <f t="shared" si="3"/>
        <v/>
      </c>
      <c r="V234" s="20" t="str">
        <f t="shared" si="4"/>
        <v>MontgomerysecondaryschoolSpace_Cooling</v>
      </c>
      <c r="W234" s="20" t="str">
        <f t="shared" si="5"/>
        <v>Montgomerysecondaryschool</v>
      </c>
    </row>
    <row r="235" spans="11:23">
      <c r="K235" s="20" t="s">
        <v>389</v>
      </c>
      <c r="L235" s="20" t="s">
        <v>463</v>
      </c>
      <c r="M235" s="20" t="s">
        <v>443</v>
      </c>
      <c r="N235" s="20">
        <v>0</v>
      </c>
      <c r="O235" s="20">
        <v>1237911.69</v>
      </c>
      <c r="P235" s="20">
        <v>5499288.4199999999</v>
      </c>
      <c r="Q235" s="20">
        <v>27790636.059999999</v>
      </c>
      <c r="R235" s="20">
        <v>0</v>
      </c>
      <c r="S235" s="20">
        <v>0</v>
      </c>
      <c r="T235" s="20">
        <f t="shared" si="2"/>
        <v>34527836.170000002</v>
      </c>
      <c r="U235" s="20" t="str">
        <f t="shared" si="3"/>
        <v/>
      </c>
      <c r="V235" s="20" t="str">
        <f t="shared" si="4"/>
        <v>MontgomerysecondaryschoolSpace_Heating</v>
      </c>
      <c r="W235" s="20" t="str">
        <f t="shared" si="5"/>
        <v>Montgomerysecondaryschool</v>
      </c>
    </row>
    <row r="236" spans="11:23">
      <c r="K236" s="20" t="s">
        <v>389</v>
      </c>
      <c r="L236" s="20" t="s">
        <v>463</v>
      </c>
      <c r="M236" s="20" t="s">
        <v>445</v>
      </c>
      <c r="N236" s="20">
        <v>0</v>
      </c>
      <c r="O236" s="20">
        <v>157558.82999999999</v>
      </c>
      <c r="P236" s="20">
        <v>2826634.75</v>
      </c>
      <c r="Q236" s="20">
        <v>1462079.7</v>
      </c>
      <c r="R236" s="20">
        <v>0</v>
      </c>
      <c r="S236" s="20">
        <v>0</v>
      </c>
      <c r="T236" s="20">
        <f t="shared" si="2"/>
        <v>4446273.28</v>
      </c>
      <c r="U236" s="20" t="str">
        <f t="shared" si="3"/>
        <v/>
      </c>
      <c r="V236" s="20" t="str">
        <f t="shared" si="4"/>
        <v>MontgomerysecondaryschoolWater_Heating</v>
      </c>
      <c r="W236" s="20" t="str">
        <f t="shared" si="5"/>
        <v>Montgomerysecondaryschool</v>
      </c>
    </row>
    <row r="237" spans="11:23">
      <c r="K237" s="20" t="s">
        <v>389</v>
      </c>
      <c r="L237" s="20" t="s">
        <v>438</v>
      </c>
      <c r="M237" s="20" t="s">
        <v>429</v>
      </c>
      <c r="N237" s="20">
        <v>0</v>
      </c>
      <c r="O237" s="20">
        <v>0</v>
      </c>
      <c r="P237" s="20">
        <v>4502542.04</v>
      </c>
      <c r="Q237" s="20">
        <v>1951633.1</v>
      </c>
      <c r="R237" s="20">
        <v>0</v>
      </c>
      <c r="S237" s="20">
        <v>0</v>
      </c>
      <c r="T237" s="20">
        <f t="shared" si="2"/>
        <v>6454175.1400000006</v>
      </c>
      <c r="U237" s="20" t="str">
        <f t="shared" si="3"/>
        <v>commercial_non_retail_attraction</v>
      </c>
      <c r="V237" s="20" t="str">
        <f t="shared" si="4"/>
        <v>MontgomerysmallhotelAux_Equip</v>
      </c>
      <c r="W237" s="20" t="str">
        <f t="shared" si="5"/>
        <v>Montgomerysmallhotel</v>
      </c>
    </row>
    <row r="238" spans="11:23">
      <c r="K238" s="20" t="s">
        <v>389</v>
      </c>
      <c r="L238" s="20" t="s">
        <v>438</v>
      </c>
      <c r="M238" s="20" t="s">
        <v>433</v>
      </c>
      <c r="N238" s="20">
        <v>0</v>
      </c>
      <c r="O238" s="20">
        <v>0</v>
      </c>
      <c r="P238" s="20">
        <v>3840768.71</v>
      </c>
      <c r="Q238" s="20">
        <v>0</v>
      </c>
      <c r="R238" s="20">
        <v>0</v>
      </c>
      <c r="S238" s="20">
        <v>0</v>
      </c>
      <c r="T238" s="20">
        <f t="shared" si="2"/>
        <v>3840768.71</v>
      </c>
      <c r="U238" s="20" t="str">
        <f t="shared" si="3"/>
        <v>commercial_non_retail_attraction</v>
      </c>
      <c r="V238" s="20" t="str">
        <f t="shared" si="4"/>
        <v>MontgomerysmallhotelAux_Motors</v>
      </c>
      <c r="W238" s="20" t="str">
        <f t="shared" si="5"/>
        <v>Montgomerysmallhotel</v>
      </c>
    </row>
    <row r="239" spans="11:23">
      <c r="K239" s="20" t="s">
        <v>389</v>
      </c>
      <c r="L239" s="20" t="s">
        <v>438</v>
      </c>
      <c r="M239" s="20" t="s">
        <v>437</v>
      </c>
      <c r="N239" s="20">
        <v>0</v>
      </c>
      <c r="O239" s="20">
        <v>0</v>
      </c>
      <c r="P239" s="20">
        <v>3399223.25</v>
      </c>
      <c r="Q239" s="20">
        <v>0</v>
      </c>
      <c r="R239" s="20">
        <v>0</v>
      </c>
      <c r="S239" s="20">
        <v>0</v>
      </c>
      <c r="T239" s="20">
        <f t="shared" si="2"/>
        <v>3399223.25</v>
      </c>
      <c r="U239" s="20" t="str">
        <f t="shared" si="3"/>
        <v>commercial_non_retail_attraction</v>
      </c>
      <c r="V239" s="20" t="str">
        <f t="shared" si="4"/>
        <v>MontgomerysmallhotelLighting</v>
      </c>
      <c r="W239" s="20" t="str">
        <f t="shared" si="5"/>
        <v>Montgomerysmallhotel</v>
      </c>
    </row>
    <row r="240" spans="11:23">
      <c r="K240" s="20" t="s">
        <v>389</v>
      </c>
      <c r="L240" s="20" t="s">
        <v>438</v>
      </c>
      <c r="M240" s="20" t="s">
        <v>440</v>
      </c>
      <c r="N240" s="20">
        <v>0</v>
      </c>
      <c r="O240" s="20">
        <v>0</v>
      </c>
      <c r="P240" s="20">
        <v>2290677.25</v>
      </c>
      <c r="Q240" s="20">
        <v>0</v>
      </c>
      <c r="R240" s="20">
        <v>0</v>
      </c>
      <c r="S240" s="20">
        <v>0</v>
      </c>
      <c r="T240" s="20">
        <f t="shared" si="2"/>
        <v>2290677.25</v>
      </c>
      <c r="U240" s="20" t="str">
        <f t="shared" si="3"/>
        <v>commercial_non_retail_attraction</v>
      </c>
      <c r="V240" s="20" t="str">
        <f t="shared" si="4"/>
        <v>MontgomerysmallhotelSpace_Cooling</v>
      </c>
      <c r="W240" s="20" t="str">
        <f t="shared" si="5"/>
        <v>Montgomerysmallhotel</v>
      </c>
    </row>
    <row r="241" spans="11:23">
      <c r="K241" s="20" t="s">
        <v>389</v>
      </c>
      <c r="L241" s="20" t="s">
        <v>438</v>
      </c>
      <c r="M241" s="20" t="s">
        <v>443</v>
      </c>
      <c r="N241" s="20">
        <v>0</v>
      </c>
      <c r="O241" s="20">
        <v>0</v>
      </c>
      <c r="P241" s="20">
        <v>552165.15</v>
      </c>
      <c r="Q241" s="20">
        <v>6347729.3700000001</v>
      </c>
      <c r="R241" s="20">
        <v>0</v>
      </c>
      <c r="S241" s="20">
        <v>0</v>
      </c>
      <c r="T241" s="20">
        <f t="shared" si="2"/>
        <v>6899894.5200000005</v>
      </c>
      <c r="U241" s="20" t="str">
        <f t="shared" si="3"/>
        <v>commercial_non_retail_attraction</v>
      </c>
      <c r="V241" s="20" t="str">
        <f t="shared" si="4"/>
        <v>MontgomerysmallhotelSpace_Heating</v>
      </c>
      <c r="W241" s="20" t="str">
        <f t="shared" si="5"/>
        <v>Montgomerysmallhotel</v>
      </c>
    </row>
    <row r="242" spans="11:23">
      <c r="K242" s="20" t="s">
        <v>389</v>
      </c>
      <c r="L242" s="20" t="s">
        <v>438</v>
      </c>
      <c r="M242" s="20" t="s">
        <v>445</v>
      </c>
      <c r="N242" s="20">
        <v>0</v>
      </c>
      <c r="O242" s="20">
        <v>0</v>
      </c>
      <c r="P242" s="20">
        <v>497528.7</v>
      </c>
      <c r="Q242" s="20">
        <v>3006297.84</v>
      </c>
      <c r="R242" s="20">
        <v>0</v>
      </c>
      <c r="S242" s="20">
        <v>0</v>
      </c>
      <c r="T242" s="20">
        <f t="shared" si="2"/>
        <v>3503826.54</v>
      </c>
      <c r="U242" s="20" t="str">
        <f t="shared" si="3"/>
        <v>commercial_non_retail_attraction</v>
      </c>
      <c r="V242" s="20" t="str">
        <f t="shared" si="4"/>
        <v>MontgomerysmallhotelWater_Heating</v>
      </c>
      <c r="W242" s="20" t="str">
        <f t="shared" si="5"/>
        <v>Montgomerysmallhotel</v>
      </c>
    </row>
    <row r="243" spans="11:23">
      <c r="K243" s="20" t="s">
        <v>389</v>
      </c>
      <c r="L243" s="20" t="s">
        <v>464</v>
      </c>
      <c r="M243" s="20" t="s">
        <v>429</v>
      </c>
      <c r="N243" s="20">
        <v>0</v>
      </c>
      <c r="O243" s="20">
        <v>0</v>
      </c>
      <c r="P243" s="20">
        <v>38376168.229999997</v>
      </c>
      <c r="Q243" s="20">
        <v>0</v>
      </c>
      <c r="R243" s="20">
        <v>0</v>
      </c>
      <c r="S243" s="20">
        <v>0</v>
      </c>
      <c r="T243" s="20">
        <f t="shared" si="2"/>
        <v>38376168.229999997</v>
      </c>
      <c r="U243" s="20" t="str">
        <f t="shared" si="3"/>
        <v/>
      </c>
      <c r="V243" s="20" t="str">
        <f t="shared" si="4"/>
        <v>MontgomerysmallofficeAux_Equip</v>
      </c>
      <c r="W243" s="20" t="str">
        <f t="shared" si="5"/>
        <v>Montgomerysmalloffice</v>
      </c>
    </row>
    <row r="244" spans="11:23">
      <c r="K244" s="20" t="s">
        <v>389</v>
      </c>
      <c r="L244" s="20" t="s">
        <v>464</v>
      </c>
      <c r="M244" s="20" t="s">
        <v>433</v>
      </c>
      <c r="N244" s="20">
        <v>0</v>
      </c>
      <c r="O244" s="20">
        <v>0</v>
      </c>
      <c r="P244" s="20">
        <v>22228883.370000001</v>
      </c>
      <c r="Q244" s="20">
        <v>0</v>
      </c>
      <c r="R244" s="20">
        <v>0</v>
      </c>
      <c r="S244" s="20">
        <v>0</v>
      </c>
      <c r="T244" s="20">
        <f t="shared" si="2"/>
        <v>22228883.370000001</v>
      </c>
      <c r="U244" s="20" t="str">
        <f t="shared" si="3"/>
        <v/>
      </c>
      <c r="V244" s="20" t="str">
        <f t="shared" si="4"/>
        <v>MontgomerysmallofficeAux_Motors</v>
      </c>
      <c r="W244" s="20" t="str">
        <f t="shared" si="5"/>
        <v>Montgomerysmalloffice</v>
      </c>
    </row>
    <row r="245" spans="11:23">
      <c r="K245" s="20" t="s">
        <v>389</v>
      </c>
      <c r="L245" s="20" t="s">
        <v>464</v>
      </c>
      <c r="M245" s="20" t="s">
        <v>437</v>
      </c>
      <c r="N245" s="20">
        <v>0</v>
      </c>
      <c r="O245" s="20">
        <v>0</v>
      </c>
      <c r="P245" s="20">
        <v>21158269.120000001</v>
      </c>
      <c r="Q245" s="20">
        <v>0</v>
      </c>
      <c r="R245" s="20">
        <v>0</v>
      </c>
      <c r="S245" s="20">
        <v>0</v>
      </c>
      <c r="T245" s="20">
        <f t="shared" si="2"/>
        <v>21158269.120000001</v>
      </c>
      <c r="U245" s="20" t="str">
        <f t="shared" si="3"/>
        <v/>
      </c>
      <c r="V245" s="20" t="str">
        <f t="shared" si="4"/>
        <v>MontgomerysmallofficeLighting</v>
      </c>
      <c r="W245" s="20" t="str">
        <f t="shared" si="5"/>
        <v>Montgomerysmalloffice</v>
      </c>
    </row>
    <row r="246" spans="11:23">
      <c r="K246" s="20" t="s">
        <v>389</v>
      </c>
      <c r="L246" s="20" t="s">
        <v>464</v>
      </c>
      <c r="M246" s="20" t="s">
        <v>440</v>
      </c>
      <c r="N246" s="20">
        <v>0</v>
      </c>
      <c r="O246" s="20">
        <v>0</v>
      </c>
      <c r="P246" s="20">
        <v>10551140.390000001</v>
      </c>
      <c r="Q246" s="20">
        <v>0</v>
      </c>
      <c r="R246" s="20">
        <v>0</v>
      </c>
      <c r="S246" s="20">
        <v>0</v>
      </c>
      <c r="T246" s="20">
        <f t="shared" si="2"/>
        <v>10551140.390000001</v>
      </c>
      <c r="U246" s="20" t="str">
        <f t="shared" si="3"/>
        <v/>
      </c>
      <c r="V246" s="20" t="str">
        <f t="shared" si="4"/>
        <v>MontgomerysmallofficeSpace_Cooling</v>
      </c>
      <c r="W246" s="20" t="str">
        <f t="shared" si="5"/>
        <v>Montgomerysmalloffice</v>
      </c>
    </row>
    <row r="247" spans="11:23">
      <c r="K247" s="20" t="s">
        <v>389</v>
      </c>
      <c r="L247" s="20" t="s">
        <v>464</v>
      </c>
      <c r="M247" s="20" t="s">
        <v>443</v>
      </c>
      <c r="N247" s="20">
        <v>0</v>
      </c>
      <c r="O247" s="20">
        <v>481038.79</v>
      </c>
      <c r="P247" s="20">
        <v>8465016.1899999995</v>
      </c>
      <c r="Q247" s="20">
        <v>53016581.869999997</v>
      </c>
      <c r="R247" s="20">
        <v>1021025.49</v>
      </c>
      <c r="S247" s="20">
        <v>0</v>
      </c>
      <c r="T247" s="20">
        <f t="shared" si="2"/>
        <v>62983662.339999996</v>
      </c>
      <c r="U247" s="20" t="str">
        <f t="shared" si="3"/>
        <v/>
      </c>
      <c r="V247" s="20" t="str">
        <f t="shared" si="4"/>
        <v>MontgomerysmallofficeSpace_Heating</v>
      </c>
      <c r="W247" s="20" t="str">
        <f t="shared" si="5"/>
        <v>Montgomerysmalloffice</v>
      </c>
    </row>
    <row r="248" spans="11:23">
      <c r="K248" s="20" t="s">
        <v>389</v>
      </c>
      <c r="L248" s="20" t="s">
        <v>464</v>
      </c>
      <c r="M248" s="20" t="s">
        <v>445</v>
      </c>
      <c r="N248" s="20">
        <v>0</v>
      </c>
      <c r="O248" s="20">
        <v>0</v>
      </c>
      <c r="P248" s="20">
        <v>2400700.73</v>
      </c>
      <c r="Q248" s="20">
        <v>2559922.61</v>
      </c>
      <c r="R248" s="20">
        <v>88387.99</v>
      </c>
      <c r="S248" s="20">
        <v>0</v>
      </c>
      <c r="T248" s="20">
        <f t="shared" si="2"/>
        <v>5049011.33</v>
      </c>
      <c r="U248" s="20" t="str">
        <f t="shared" si="3"/>
        <v/>
      </c>
      <c r="V248" s="20" t="str">
        <f t="shared" si="4"/>
        <v>MontgomerysmallofficeWater_Heating</v>
      </c>
      <c r="W248" s="20" t="str">
        <f t="shared" si="5"/>
        <v>Montgomerysmalloffice</v>
      </c>
    </row>
    <row r="249" spans="11:23">
      <c r="K249" s="20" t="s">
        <v>389</v>
      </c>
      <c r="L249" s="20" t="s">
        <v>452</v>
      </c>
      <c r="M249" s="20" t="s">
        <v>429</v>
      </c>
      <c r="N249" s="20">
        <v>0</v>
      </c>
      <c r="O249" s="20">
        <v>0</v>
      </c>
      <c r="P249" s="20">
        <v>130790131.7</v>
      </c>
      <c r="Q249" s="20">
        <v>0</v>
      </c>
      <c r="R249" s="20">
        <v>0</v>
      </c>
      <c r="S249" s="20">
        <v>0</v>
      </c>
      <c r="T249" s="20">
        <f t="shared" si="2"/>
        <v>130790131.7</v>
      </c>
      <c r="U249" s="20" t="str">
        <f t="shared" si="3"/>
        <v>transportation_utilities</v>
      </c>
      <c r="V249" s="20" t="str">
        <f t="shared" si="4"/>
        <v>MontgomerywarehouseAux_Equip</v>
      </c>
      <c r="W249" s="20" t="str">
        <f t="shared" si="5"/>
        <v>Montgomerywarehouse</v>
      </c>
    </row>
    <row r="250" spans="11:23">
      <c r="K250" s="20" t="s">
        <v>389</v>
      </c>
      <c r="L250" s="20" t="s">
        <v>452</v>
      </c>
      <c r="M250" s="20" t="s">
        <v>433</v>
      </c>
      <c r="N250" s="20">
        <v>0</v>
      </c>
      <c r="O250" s="20">
        <v>0</v>
      </c>
      <c r="P250" s="20">
        <v>8781752.9900000002</v>
      </c>
      <c r="Q250" s="20">
        <v>0</v>
      </c>
      <c r="R250" s="20">
        <v>0</v>
      </c>
      <c r="S250" s="20">
        <v>0</v>
      </c>
      <c r="T250" s="20">
        <f t="shared" si="2"/>
        <v>8781752.9900000002</v>
      </c>
      <c r="U250" s="20" t="str">
        <f t="shared" si="3"/>
        <v>transportation_utilities</v>
      </c>
      <c r="V250" s="20" t="str">
        <f t="shared" si="4"/>
        <v>MontgomerywarehouseAux_Motors</v>
      </c>
      <c r="W250" s="20" t="str">
        <f t="shared" si="5"/>
        <v>Montgomerywarehouse</v>
      </c>
    </row>
    <row r="251" spans="11:23">
      <c r="K251" s="20" t="s">
        <v>389</v>
      </c>
      <c r="L251" s="20" t="s">
        <v>452</v>
      </c>
      <c r="M251" s="20" t="s">
        <v>437</v>
      </c>
      <c r="N251" s="20">
        <v>0</v>
      </c>
      <c r="O251" s="20">
        <v>0</v>
      </c>
      <c r="P251" s="20">
        <v>92563269.959999993</v>
      </c>
      <c r="Q251" s="20">
        <v>0</v>
      </c>
      <c r="R251" s="20">
        <v>0</v>
      </c>
      <c r="S251" s="20">
        <v>0</v>
      </c>
      <c r="T251" s="20">
        <f t="shared" si="2"/>
        <v>92563269.959999993</v>
      </c>
      <c r="U251" s="20" t="str">
        <f t="shared" si="3"/>
        <v>transportation_utilities</v>
      </c>
      <c r="V251" s="20" t="str">
        <f t="shared" si="4"/>
        <v>MontgomerywarehouseLighting</v>
      </c>
      <c r="W251" s="20" t="str">
        <f t="shared" si="5"/>
        <v>Montgomerywarehouse</v>
      </c>
    </row>
    <row r="252" spans="11:23">
      <c r="K252" s="20" t="s">
        <v>389</v>
      </c>
      <c r="L252" s="20" t="s">
        <v>452</v>
      </c>
      <c r="M252" s="20" t="s">
        <v>440</v>
      </c>
      <c r="N252" s="20">
        <v>0</v>
      </c>
      <c r="O252" s="20">
        <v>0</v>
      </c>
      <c r="P252" s="20">
        <v>2128439.12</v>
      </c>
      <c r="Q252" s="20">
        <v>0</v>
      </c>
      <c r="R252" s="20">
        <v>0</v>
      </c>
      <c r="S252" s="20">
        <v>0</v>
      </c>
      <c r="T252" s="20">
        <f t="shared" si="2"/>
        <v>2128439.12</v>
      </c>
      <c r="U252" s="20" t="str">
        <f t="shared" si="3"/>
        <v>transportation_utilities</v>
      </c>
      <c r="V252" s="20" t="str">
        <f t="shared" si="4"/>
        <v>MontgomerywarehouseSpace_Cooling</v>
      </c>
      <c r="W252" s="20" t="str">
        <f t="shared" si="5"/>
        <v>Montgomerywarehouse</v>
      </c>
    </row>
    <row r="253" spans="11:23">
      <c r="K253" s="20" t="s">
        <v>389</v>
      </c>
      <c r="L253" s="20" t="s">
        <v>452</v>
      </c>
      <c r="M253" s="20" t="s">
        <v>443</v>
      </c>
      <c r="N253" s="20">
        <v>0</v>
      </c>
      <c r="O253" s="20">
        <v>228690.12</v>
      </c>
      <c r="P253" s="20">
        <v>11115777.76</v>
      </c>
      <c r="Q253" s="20">
        <v>39202189.740000002</v>
      </c>
      <c r="R253" s="20">
        <v>1384676.13</v>
      </c>
      <c r="S253" s="20">
        <v>0</v>
      </c>
      <c r="T253" s="20">
        <f t="shared" si="2"/>
        <v>51931333.750000007</v>
      </c>
      <c r="U253" s="20" t="str">
        <f t="shared" si="3"/>
        <v>transportation_utilities</v>
      </c>
      <c r="V253" s="20" t="str">
        <f t="shared" si="4"/>
        <v>MontgomerywarehouseSpace_Heating</v>
      </c>
      <c r="W253" s="20" t="str">
        <f t="shared" si="5"/>
        <v>Montgomerywarehouse</v>
      </c>
    </row>
    <row r="254" spans="11:23">
      <c r="K254" s="20" t="s">
        <v>389</v>
      </c>
      <c r="L254" s="20" t="s">
        <v>452</v>
      </c>
      <c r="M254" s="20" t="s">
        <v>445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f t="shared" si="2"/>
        <v>0</v>
      </c>
      <c r="U254" s="20" t="str">
        <f t="shared" si="3"/>
        <v>transportation_utilities</v>
      </c>
      <c r="V254" s="20" t="str">
        <f t="shared" si="4"/>
        <v>MontgomerywarehouseWater_Heating</v>
      </c>
      <c r="W254" s="20" t="str">
        <f t="shared" si="5"/>
        <v>Montgomerywarehouse</v>
      </c>
    </row>
    <row r="256" spans="11:23">
      <c r="K256" s="20" t="str">
        <f t="shared" ref="K256:K297" ca="1" si="18">MID(OFFSET($K$3,ROW(K1)*6-1,0),5,FIND(" County",OFFSET($K$3,ROW(K1)*6-1,0))-5)</f>
        <v>Greene</v>
      </c>
      <c r="L256" s="20" t="str">
        <f t="shared" ref="L256:L297" ca="1" si="19">OFFSET($L$3,ROW(L1)*6-1,0)</f>
        <v>fullservicerestaurant</v>
      </c>
      <c r="M256" s="2" t="s">
        <v>32</v>
      </c>
      <c r="N256" s="21">
        <f t="shared" ref="N256:T256" ca="1" si="20">SUMIF($W$3:$W$254,"="&amp;$K256&amp;$L256,N$3:N$254)</f>
        <v>0</v>
      </c>
      <c r="O256" s="21">
        <f t="shared" ca="1" si="20"/>
        <v>0</v>
      </c>
      <c r="P256" s="21">
        <f t="shared" ca="1" si="20"/>
        <v>43382119.369999997</v>
      </c>
      <c r="Q256" s="21">
        <f t="shared" ca="1" si="20"/>
        <v>70843039.519999996</v>
      </c>
      <c r="R256" s="21">
        <f t="shared" ca="1" si="20"/>
        <v>0</v>
      </c>
      <c r="S256" s="21">
        <f t="shared" ca="1" si="20"/>
        <v>0</v>
      </c>
      <c r="T256" s="21">
        <f t="shared" ca="1" si="20"/>
        <v>114225158.88999999</v>
      </c>
      <c r="V256" s="20" t="str">
        <f t="shared" ref="V256:V297" ca="1" si="21">K256&amp;L256&amp;M256</f>
        <v>GreenefullservicerestaurantTotal</v>
      </c>
      <c r="W256" s="20" t="str">
        <f t="shared" ref="W256:W297" ca="1" si="22">K256&amp;L256</f>
        <v>Greenefullservicerestaurant</v>
      </c>
    </row>
    <row r="257" spans="11:23">
      <c r="K257" s="20" t="str">
        <f t="shared" ca="1" si="18"/>
        <v>Greene</v>
      </c>
      <c r="L257" s="20" t="str">
        <f t="shared" ca="1" si="19"/>
        <v>hospital</v>
      </c>
      <c r="M257" s="2" t="s">
        <v>32</v>
      </c>
      <c r="N257" s="21">
        <f t="shared" ref="N257:T257" ca="1" si="23">SUMIF($W$3:$W$254,"="&amp;$K257&amp;$L257,N$3:N$254)</f>
        <v>0</v>
      </c>
      <c r="O257" s="21">
        <f t="shared" ca="1" si="23"/>
        <v>0</v>
      </c>
      <c r="P257" s="21">
        <f t="shared" ca="1" si="23"/>
        <v>20182668.649999999</v>
      </c>
      <c r="Q257" s="21">
        <f t="shared" ca="1" si="23"/>
        <v>12250702.069999998</v>
      </c>
      <c r="R257" s="21">
        <f t="shared" ca="1" si="23"/>
        <v>0</v>
      </c>
      <c r="S257" s="21">
        <f t="shared" ca="1" si="23"/>
        <v>0</v>
      </c>
      <c r="T257" s="21">
        <f t="shared" ca="1" si="23"/>
        <v>32433370.720000003</v>
      </c>
      <c r="V257" s="20" t="str">
        <f t="shared" ca="1" si="21"/>
        <v>GreenehospitalTotal</v>
      </c>
      <c r="W257" s="20" t="str">
        <f t="shared" ca="1" si="22"/>
        <v>Greenehospital</v>
      </c>
    </row>
    <row r="258" spans="11:23">
      <c r="K258" s="20" t="str">
        <f t="shared" ca="1" si="18"/>
        <v>Greene</v>
      </c>
      <c r="L258" s="20" t="str">
        <f t="shared" ca="1" si="19"/>
        <v>largehotel</v>
      </c>
      <c r="M258" s="2" t="s">
        <v>32</v>
      </c>
      <c r="N258" s="21">
        <f t="shared" ref="N258:T258" ca="1" si="24">SUMIF($W$3:$W$254,"="&amp;$K258&amp;$L258,N$3:N$254)</f>
        <v>0</v>
      </c>
      <c r="O258" s="21">
        <f t="shared" ca="1" si="24"/>
        <v>0</v>
      </c>
      <c r="P258" s="21">
        <f t="shared" ca="1" si="24"/>
        <v>0</v>
      </c>
      <c r="Q258" s="21">
        <f t="shared" ca="1" si="24"/>
        <v>0</v>
      </c>
      <c r="R258" s="21">
        <f t="shared" ca="1" si="24"/>
        <v>0</v>
      </c>
      <c r="S258" s="21">
        <f t="shared" ca="1" si="24"/>
        <v>0</v>
      </c>
      <c r="T258" s="21">
        <f t="shared" ca="1" si="24"/>
        <v>0</v>
      </c>
      <c r="V258" s="20" t="str">
        <f t="shared" ca="1" si="21"/>
        <v>GreenelargehotelTotal</v>
      </c>
      <c r="W258" s="20" t="str">
        <f t="shared" ca="1" si="22"/>
        <v>Greenelargehotel</v>
      </c>
    </row>
    <row r="259" spans="11:23">
      <c r="K259" s="20" t="str">
        <f t="shared" ca="1" si="18"/>
        <v>Greene</v>
      </c>
      <c r="L259" s="20" t="str">
        <f t="shared" ca="1" si="19"/>
        <v>largeoffice</v>
      </c>
      <c r="M259" s="2" t="s">
        <v>32</v>
      </c>
      <c r="N259" s="21">
        <f t="shared" ref="N259:T259" ca="1" si="25">SUMIF($W$3:$W$254,"="&amp;$K259&amp;$L259,N$3:N$254)</f>
        <v>0</v>
      </c>
      <c r="O259" s="21">
        <f t="shared" ca="1" si="25"/>
        <v>0</v>
      </c>
      <c r="P259" s="21">
        <f t="shared" ca="1" si="25"/>
        <v>0</v>
      </c>
      <c r="Q259" s="21">
        <f t="shared" ca="1" si="25"/>
        <v>0</v>
      </c>
      <c r="R259" s="21">
        <f t="shared" ca="1" si="25"/>
        <v>0</v>
      </c>
      <c r="S259" s="21">
        <f t="shared" ca="1" si="25"/>
        <v>0</v>
      </c>
      <c r="T259" s="21">
        <f t="shared" ca="1" si="25"/>
        <v>0</v>
      </c>
      <c r="V259" s="20" t="str">
        <f t="shared" ca="1" si="21"/>
        <v>GreenelargeofficeTotal</v>
      </c>
      <c r="W259" s="20" t="str">
        <f t="shared" ca="1" si="22"/>
        <v>Greenelargeoffice</v>
      </c>
    </row>
    <row r="260" spans="11:23">
      <c r="K260" s="20" t="str">
        <f t="shared" ca="1" si="18"/>
        <v>Greene</v>
      </c>
      <c r="L260" s="20" t="str">
        <f t="shared" ca="1" si="19"/>
        <v>mediumoffice</v>
      </c>
      <c r="M260" s="2" t="s">
        <v>32</v>
      </c>
      <c r="N260" s="21">
        <f t="shared" ref="N260:T260" ca="1" si="26">SUMIF($W$3:$W$254,"="&amp;$K260&amp;$L260,N$3:N$254)</f>
        <v>0</v>
      </c>
      <c r="O260" s="21">
        <f t="shared" ca="1" si="26"/>
        <v>0</v>
      </c>
      <c r="P260" s="21">
        <f t="shared" ca="1" si="26"/>
        <v>15702979.17</v>
      </c>
      <c r="Q260" s="21">
        <f t="shared" ca="1" si="26"/>
        <v>4991435.9700000007</v>
      </c>
      <c r="R260" s="21">
        <f t="shared" ca="1" si="26"/>
        <v>0</v>
      </c>
      <c r="S260" s="21">
        <f t="shared" ca="1" si="26"/>
        <v>0</v>
      </c>
      <c r="T260" s="21">
        <f t="shared" ca="1" si="26"/>
        <v>20694415.140000001</v>
      </c>
      <c r="V260" s="20" t="str">
        <f t="shared" ca="1" si="21"/>
        <v>GreenemediumofficeTotal</v>
      </c>
      <c r="W260" s="20" t="str">
        <f t="shared" ca="1" si="22"/>
        <v>Greenemediumoffice</v>
      </c>
    </row>
    <row r="261" spans="11:23">
      <c r="K261" s="20" t="str">
        <f t="shared" ca="1" si="18"/>
        <v>Greene</v>
      </c>
      <c r="L261" s="20" t="str">
        <f t="shared" ca="1" si="19"/>
        <v>outpatient</v>
      </c>
      <c r="M261" s="2" t="s">
        <v>32</v>
      </c>
      <c r="N261" s="21">
        <f t="shared" ref="N261:T261" ca="1" si="27">SUMIF($W$3:$W$254,"="&amp;$K261&amp;$L261,N$3:N$254)</f>
        <v>0</v>
      </c>
      <c r="O261" s="21">
        <f t="shared" ca="1" si="27"/>
        <v>0</v>
      </c>
      <c r="P261" s="21">
        <f t="shared" ca="1" si="27"/>
        <v>33971757.810000002</v>
      </c>
      <c r="Q261" s="21">
        <f t="shared" ca="1" si="27"/>
        <v>11303271.93</v>
      </c>
      <c r="R261" s="21">
        <f t="shared" ca="1" si="27"/>
        <v>1023536.94</v>
      </c>
      <c r="S261" s="21">
        <f t="shared" ca="1" si="27"/>
        <v>0</v>
      </c>
      <c r="T261" s="21">
        <f t="shared" ca="1" si="27"/>
        <v>46298566.68</v>
      </c>
      <c r="V261" s="20" t="str">
        <f t="shared" ca="1" si="21"/>
        <v>GreeneoutpatientTotal</v>
      </c>
      <c r="W261" s="20" t="str">
        <f t="shared" ca="1" si="22"/>
        <v>Greeneoutpatient</v>
      </c>
    </row>
    <row r="262" spans="11:23">
      <c r="K262" s="20" t="str">
        <f t="shared" ca="1" si="18"/>
        <v>Greene</v>
      </c>
      <c r="L262" s="20" t="str">
        <f t="shared" ca="1" si="19"/>
        <v>primaryschool</v>
      </c>
      <c r="M262" s="2" t="s">
        <v>32</v>
      </c>
      <c r="N262" s="21">
        <f t="shared" ref="N262:T262" ca="1" si="28">SUMIF($W$3:$W$254,"="&amp;$K262&amp;$L262,N$3:N$254)</f>
        <v>0</v>
      </c>
      <c r="O262" s="21">
        <f t="shared" ca="1" si="28"/>
        <v>0</v>
      </c>
      <c r="P262" s="21">
        <f t="shared" ca="1" si="28"/>
        <v>18887455.879999999</v>
      </c>
      <c r="Q262" s="21">
        <f t="shared" ca="1" si="28"/>
        <v>29965779</v>
      </c>
      <c r="R262" s="21">
        <f t="shared" ca="1" si="28"/>
        <v>0</v>
      </c>
      <c r="S262" s="21">
        <f t="shared" ca="1" si="28"/>
        <v>0</v>
      </c>
      <c r="T262" s="21">
        <f t="shared" ca="1" si="28"/>
        <v>48853234.880000003</v>
      </c>
      <c r="V262" s="20" t="str">
        <f t="shared" ca="1" si="21"/>
        <v>GreeneprimaryschoolTotal</v>
      </c>
      <c r="W262" s="20" t="str">
        <f t="shared" ca="1" si="22"/>
        <v>Greeneprimaryschool</v>
      </c>
    </row>
    <row r="263" spans="11:23">
      <c r="K263" s="20" t="str">
        <f t="shared" ca="1" si="18"/>
        <v>Greene</v>
      </c>
      <c r="L263" s="20" t="str">
        <f t="shared" ca="1" si="19"/>
        <v>quickservicerestaurant</v>
      </c>
      <c r="M263" s="2" t="s">
        <v>32</v>
      </c>
      <c r="N263" s="21">
        <f t="shared" ref="N263:T263" ca="1" si="29">SUMIF($W$3:$W$254,"="&amp;$K263&amp;$L263,N$3:N$254)</f>
        <v>0</v>
      </c>
      <c r="O263" s="21">
        <f t="shared" ca="1" si="29"/>
        <v>0</v>
      </c>
      <c r="P263" s="21">
        <f t="shared" ca="1" si="29"/>
        <v>11405587.220000001</v>
      </c>
      <c r="Q263" s="21">
        <f t="shared" ca="1" si="29"/>
        <v>25196057.649999999</v>
      </c>
      <c r="R263" s="21">
        <f t="shared" ca="1" si="29"/>
        <v>0</v>
      </c>
      <c r="S263" s="21">
        <f t="shared" ca="1" si="29"/>
        <v>0</v>
      </c>
      <c r="T263" s="21">
        <f t="shared" ca="1" si="29"/>
        <v>36601644.870000005</v>
      </c>
      <c r="V263" s="20" t="str">
        <f t="shared" ca="1" si="21"/>
        <v>GreenequickservicerestaurantTotal</v>
      </c>
      <c r="W263" s="20" t="str">
        <f t="shared" ca="1" si="22"/>
        <v>Greenequickservicerestaurant</v>
      </c>
    </row>
    <row r="264" spans="11:23">
      <c r="K264" s="20" t="str">
        <f t="shared" ca="1" si="18"/>
        <v>Greene</v>
      </c>
      <c r="L264" s="20" t="str">
        <f t="shared" ca="1" si="19"/>
        <v>retailstandalone</v>
      </c>
      <c r="M264" s="2" t="s">
        <v>32</v>
      </c>
      <c r="N264" s="21">
        <f t="shared" ref="N264:T264" ca="1" si="30">SUMIF($W$3:$W$254,"="&amp;$K264&amp;$L264,N$3:N$254)</f>
        <v>0</v>
      </c>
      <c r="O264" s="21">
        <f t="shared" ca="1" si="30"/>
        <v>0</v>
      </c>
      <c r="P264" s="21">
        <f t="shared" ca="1" si="30"/>
        <v>33313103.57</v>
      </c>
      <c r="Q264" s="21">
        <f t="shared" ca="1" si="30"/>
        <v>19052693.739999998</v>
      </c>
      <c r="R264" s="21">
        <f t="shared" ca="1" si="30"/>
        <v>689908.71</v>
      </c>
      <c r="S264" s="21">
        <f t="shared" ca="1" si="30"/>
        <v>0</v>
      </c>
      <c r="T264" s="21">
        <f t="shared" ca="1" si="30"/>
        <v>53055706.019999996</v>
      </c>
      <c r="V264" s="20" t="str">
        <f t="shared" ca="1" si="21"/>
        <v>GreeneretailstandaloneTotal</v>
      </c>
      <c r="W264" s="20" t="str">
        <f t="shared" ca="1" si="22"/>
        <v>Greeneretailstandalone</v>
      </c>
    </row>
    <row r="265" spans="11:23">
      <c r="K265" s="20" t="str">
        <f t="shared" ca="1" si="18"/>
        <v>Greene</v>
      </c>
      <c r="L265" s="20" t="str">
        <f t="shared" ca="1" si="19"/>
        <v>retailstripmall</v>
      </c>
      <c r="M265" s="2" t="s">
        <v>32</v>
      </c>
      <c r="N265" s="21">
        <f t="shared" ref="N265:T265" ca="1" si="31">SUMIF($W$3:$W$254,"="&amp;$K265&amp;$L265,N$3:N$254)</f>
        <v>0</v>
      </c>
      <c r="O265" s="21">
        <f t="shared" ca="1" si="31"/>
        <v>0</v>
      </c>
      <c r="P265" s="21">
        <f t="shared" ca="1" si="31"/>
        <v>88111592.160000011</v>
      </c>
      <c r="Q265" s="21">
        <f t="shared" ca="1" si="31"/>
        <v>51692945.5</v>
      </c>
      <c r="R265" s="21">
        <f t="shared" ca="1" si="31"/>
        <v>5446523.4699999997</v>
      </c>
      <c r="S265" s="21">
        <f t="shared" ca="1" si="31"/>
        <v>0</v>
      </c>
      <c r="T265" s="21">
        <f t="shared" ca="1" si="31"/>
        <v>145251061.13</v>
      </c>
      <c r="V265" s="20" t="str">
        <f t="shared" ca="1" si="21"/>
        <v>GreeneretailstripmallTotal</v>
      </c>
      <c r="W265" s="20" t="str">
        <f t="shared" ca="1" si="22"/>
        <v>Greeneretailstripmall</v>
      </c>
    </row>
    <row r="266" spans="11:23">
      <c r="K266" s="20" t="str">
        <f t="shared" ca="1" si="18"/>
        <v>Greene</v>
      </c>
      <c r="L266" s="20" t="str">
        <f t="shared" ca="1" si="19"/>
        <v>secondaryschool</v>
      </c>
      <c r="M266" s="2" t="s">
        <v>32</v>
      </c>
      <c r="N266" s="21">
        <f t="shared" ref="N266:T266" ca="1" si="32">SUMIF($W$3:$W$254,"="&amp;$K266&amp;$L266,N$3:N$254)</f>
        <v>0</v>
      </c>
      <c r="O266" s="21">
        <f t="shared" ca="1" si="32"/>
        <v>0</v>
      </c>
      <c r="P266" s="21">
        <f t="shared" ca="1" si="32"/>
        <v>13216649.389999999</v>
      </c>
      <c r="Q266" s="21">
        <f t="shared" ca="1" si="32"/>
        <v>11345886.58</v>
      </c>
      <c r="R266" s="21">
        <f t="shared" ca="1" si="32"/>
        <v>0</v>
      </c>
      <c r="S266" s="21">
        <f t="shared" ca="1" si="32"/>
        <v>0</v>
      </c>
      <c r="T266" s="21">
        <f t="shared" ca="1" si="32"/>
        <v>24562535.969999999</v>
      </c>
      <c r="V266" s="20" t="str">
        <f t="shared" ca="1" si="21"/>
        <v>GreenesecondaryschoolTotal</v>
      </c>
      <c r="W266" s="20" t="str">
        <f t="shared" ca="1" si="22"/>
        <v>Greenesecondaryschool</v>
      </c>
    </row>
    <row r="267" spans="11:23">
      <c r="K267" s="20" t="str">
        <f t="shared" ca="1" si="18"/>
        <v>Greene</v>
      </c>
      <c r="L267" s="20" t="str">
        <f t="shared" ca="1" si="19"/>
        <v>smallhotel</v>
      </c>
      <c r="M267" s="2" t="s">
        <v>32</v>
      </c>
      <c r="N267" s="21">
        <f t="shared" ref="N267:T267" ca="1" si="33">SUMIF($W$3:$W$254,"="&amp;$K267&amp;$L267,N$3:N$254)</f>
        <v>0</v>
      </c>
      <c r="O267" s="21">
        <f t="shared" ca="1" si="33"/>
        <v>0</v>
      </c>
      <c r="P267" s="21">
        <f t="shared" ca="1" si="33"/>
        <v>6429732.6600000001</v>
      </c>
      <c r="Q267" s="21">
        <f t="shared" ca="1" si="33"/>
        <v>2182581.27</v>
      </c>
      <c r="R267" s="21">
        <f t="shared" ca="1" si="33"/>
        <v>1829092.63</v>
      </c>
      <c r="S267" s="21">
        <f t="shared" ca="1" si="33"/>
        <v>0</v>
      </c>
      <c r="T267" s="21">
        <f t="shared" ca="1" si="33"/>
        <v>10441406.559999999</v>
      </c>
      <c r="V267" s="20" t="str">
        <f t="shared" ca="1" si="21"/>
        <v>GreenesmallhotelTotal</v>
      </c>
      <c r="W267" s="20" t="str">
        <f t="shared" ca="1" si="22"/>
        <v>Greenesmallhotel</v>
      </c>
    </row>
    <row r="268" spans="11:23">
      <c r="K268" s="20" t="str">
        <f t="shared" ca="1" si="18"/>
        <v>Greene</v>
      </c>
      <c r="L268" s="20" t="str">
        <f t="shared" ca="1" si="19"/>
        <v>smalloffice</v>
      </c>
      <c r="M268" s="2" t="s">
        <v>32</v>
      </c>
      <c r="N268" s="21">
        <f t="shared" ref="N268:T268" ca="1" si="34">SUMIF($W$3:$W$254,"="&amp;$K268&amp;$L268,N$3:N$254)</f>
        <v>0</v>
      </c>
      <c r="O268" s="21">
        <f t="shared" ca="1" si="34"/>
        <v>0</v>
      </c>
      <c r="P268" s="21">
        <f t="shared" ca="1" si="34"/>
        <v>26200471.430000003</v>
      </c>
      <c r="Q268" s="21">
        <f t="shared" ca="1" si="34"/>
        <v>14153244.889999999</v>
      </c>
      <c r="R268" s="21">
        <f t="shared" ca="1" si="34"/>
        <v>1042155.75</v>
      </c>
      <c r="S268" s="21">
        <f t="shared" ca="1" si="34"/>
        <v>0</v>
      </c>
      <c r="T268" s="21">
        <f t="shared" ca="1" si="34"/>
        <v>41395872.070000008</v>
      </c>
      <c r="V268" s="20" t="str">
        <f t="shared" ca="1" si="21"/>
        <v>GreenesmallofficeTotal</v>
      </c>
      <c r="W268" s="20" t="str">
        <f t="shared" ca="1" si="22"/>
        <v>Greenesmalloffice</v>
      </c>
    </row>
    <row r="269" spans="11:23">
      <c r="K269" s="20" t="str">
        <f t="shared" ca="1" si="18"/>
        <v>Greene</v>
      </c>
      <c r="L269" s="20" t="str">
        <f t="shared" ca="1" si="19"/>
        <v>warehouse</v>
      </c>
      <c r="M269" s="2" t="s">
        <v>32</v>
      </c>
      <c r="N269" s="21">
        <f t="shared" ref="N269:T269" ca="1" si="35">SUMIF($W$3:$W$254,"="&amp;$K269&amp;$L269,N$3:N$254)</f>
        <v>0</v>
      </c>
      <c r="O269" s="21">
        <f t="shared" ca="1" si="35"/>
        <v>0</v>
      </c>
      <c r="P269" s="21">
        <f t="shared" ca="1" si="35"/>
        <v>18486059.830000002</v>
      </c>
      <c r="Q269" s="21">
        <f t="shared" ca="1" si="35"/>
        <v>2695497.17</v>
      </c>
      <c r="R269" s="21">
        <f t="shared" ca="1" si="35"/>
        <v>172629.53</v>
      </c>
      <c r="S269" s="21">
        <f t="shared" ca="1" si="35"/>
        <v>0</v>
      </c>
      <c r="T269" s="21">
        <f t="shared" ca="1" si="35"/>
        <v>21354186.530000001</v>
      </c>
      <c r="V269" s="20" t="str">
        <f t="shared" ca="1" si="21"/>
        <v>GreenewarehouseTotal</v>
      </c>
      <c r="W269" s="20" t="str">
        <f t="shared" ca="1" si="22"/>
        <v>Greenewarehouse</v>
      </c>
    </row>
    <row r="270" spans="11:23">
      <c r="K270" s="20" t="str">
        <f t="shared" ca="1" si="18"/>
        <v>Miami</v>
      </c>
      <c r="L270" s="20" t="str">
        <f t="shared" ca="1" si="19"/>
        <v>fullservicerestaurant</v>
      </c>
      <c r="M270" s="2" t="s">
        <v>32</v>
      </c>
      <c r="N270" s="21">
        <f t="shared" ref="N270:T270" ca="1" si="36">SUMIF($W$3:$W$254,"="&amp;$K270&amp;$L270,N$3:N$254)</f>
        <v>0</v>
      </c>
      <c r="O270" s="21">
        <f t="shared" ca="1" si="36"/>
        <v>0</v>
      </c>
      <c r="P270" s="21">
        <f t="shared" ca="1" si="36"/>
        <v>22408000.039999999</v>
      </c>
      <c r="Q270" s="21">
        <f t="shared" ca="1" si="36"/>
        <v>27981747.130000003</v>
      </c>
      <c r="R270" s="21">
        <f t="shared" ca="1" si="36"/>
        <v>0</v>
      </c>
      <c r="S270" s="21">
        <f t="shared" ca="1" si="36"/>
        <v>0</v>
      </c>
      <c r="T270" s="21">
        <f t="shared" ca="1" si="36"/>
        <v>50389747.170000002</v>
      </c>
      <c r="V270" s="20" t="str">
        <f t="shared" ca="1" si="21"/>
        <v>MiamifullservicerestaurantTotal</v>
      </c>
      <c r="W270" s="20" t="str">
        <f t="shared" ca="1" si="22"/>
        <v>Miamifullservicerestaurant</v>
      </c>
    </row>
    <row r="271" spans="11:23">
      <c r="K271" s="20" t="str">
        <f t="shared" ca="1" si="18"/>
        <v>Miami</v>
      </c>
      <c r="L271" s="20" t="str">
        <f t="shared" ca="1" si="19"/>
        <v>hospital</v>
      </c>
      <c r="M271" s="2" t="s">
        <v>32</v>
      </c>
      <c r="N271" s="21">
        <f t="shared" ref="N271:T271" ca="1" si="37">SUMIF($W$3:$W$254,"="&amp;$K271&amp;$L271,N$3:N$254)</f>
        <v>0</v>
      </c>
      <c r="O271" s="21">
        <f t="shared" ca="1" si="37"/>
        <v>0</v>
      </c>
      <c r="P271" s="21">
        <f t="shared" ca="1" si="37"/>
        <v>0</v>
      </c>
      <c r="Q271" s="21">
        <f t="shared" ca="1" si="37"/>
        <v>0</v>
      </c>
      <c r="R271" s="21">
        <f t="shared" ca="1" si="37"/>
        <v>0</v>
      </c>
      <c r="S271" s="21">
        <f t="shared" ca="1" si="37"/>
        <v>0</v>
      </c>
      <c r="T271" s="21">
        <f t="shared" ca="1" si="37"/>
        <v>0</v>
      </c>
      <c r="V271" s="20" t="str">
        <f t="shared" ca="1" si="21"/>
        <v>MiamihospitalTotal</v>
      </c>
      <c r="W271" s="20" t="str">
        <f t="shared" ca="1" si="22"/>
        <v>Miamihospital</v>
      </c>
    </row>
    <row r="272" spans="11:23">
      <c r="K272" s="20" t="str">
        <f t="shared" ca="1" si="18"/>
        <v>Miami</v>
      </c>
      <c r="L272" s="20" t="str">
        <f t="shared" ca="1" si="19"/>
        <v>largehotel</v>
      </c>
      <c r="M272" s="2" t="s">
        <v>32</v>
      </c>
      <c r="N272" s="21">
        <f t="shared" ref="N272:T272" ca="1" si="38">SUMIF($W$3:$W$254,"="&amp;$K272&amp;$L272,N$3:N$254)</f>
        <v>0</v>
      </c>
      <c r="O272" s="21">
        <f t="shared" ca="1" si="38"/>
        <v>0</v>
      </c>
      <c r="P272" s="21">
        <f t="shared" ca="1" si="38"/>
        <v>0</v>
      </c>
      <c r="Q272" s="21">
        <f t="shared" ca="1" si="38"/>
        <v>0</v>
      </c>
      <c r="R272" s="21">
        <f t="shared" ca="1" si="38"/>
        <v>0</v>
      </c>
      <c r="S272" s="21">
        <f t="shared" ca="1" si="38"/>
        <v>0</v>
      </c>
      <c r="T272" s="21">
        <f t="shared" ca="1" si="38"/>
        <v>0</v>
      </c>
      <c r="V272" s="20" t="str">
        <f t="shared" ca="1" si="21"/>
        <v>MiamilargehotelTotal</v>
      </c>
      <c r="W272" s="20" t="str">
        <f t="shared" ca="1" si="22"/>
        <v>Miamilargehotel</v>
      </c>
    </row>
    <row r="273" spans="11:23">
      <c r="K273" s="20" t="str">
        <f t="shared" ca="1" si="18"/>
        <v>Miami</v>
      </c>
      <c r="L273" s="20" t="str">
        <f t="shared" ca="1" si="19"/>
        <v>largeoffice</v>
      </c>
      <c r="M273" s="2" t="s">
        <v>32</v>
      </c>
      <c r="N273" s="21">
        <f t="shared" ref="N273:T273" ca="1" si="39">SUMIF($W$3:$W$254,"="&amp;$K273&amp;$L273,N$3:N$254)</f>
        <v>0</v>
      </c>
      <c r="O273" s="21">
        <f t="shared" ca="1" si="39"/>
        <v>0</v>
      </c>
      <c r="P273" s="21">
        <f t="shared" ca="1" si="39"/>
        <v>41929301.460000001</v>
      </c>
      <c r="Q273" s="21">
        <f t="shared" ca="1" si="39"/>
        <v>3981643.44</v>
      </c>
      <c r="R273" s="21">
        <f t="shared" ca="1" si="39"/>
        <v>0</v>
      </c>
      <c r="S273" s="21">
        <f t="shared" ca="1" si="39"/>
        <v>0</v>
      </c>
      <c r="T273" s="21">
        <f t="shared" ca="1" si="39"/>
        <v>45910944.899999999</v>
      </c>
      <c r="V273" s="20" t="str">
        <f t="shared" ca="1" si="21"/>
        <v>MiamilargeofficeTotal</v>
      </c>
      <c r="W273" s="20" t="str">
        <f t="shared" ca="1" si="22"/>
        <v>Miamilargeoffice</v>
      </c>
    </row>
    <row r="274" spans="11:23">
      <c r="K274" s="20" t="str">
        <f t="shared" ca="1" si="18"/>
        <v>Miami</v>
      </c>
      <c r="L274" s="20" t="str">
        <f t="shared" ca="1" si="19"/>
        <v>mediumoffice</v>
      </c>
      <c r="M274" s="2" t="s">
        <v>32</v>
      </c>
      <c r="N274" s="21">
        <f t="shared" ref="N274:T274" ca="1" si="40">SUMIF($W$3:$W$254,"="&amp;$K274&amp;$L274,N$3:N$254)</f>
        <v>0</v>
      </c>
      <c r="O274" s="21">
        <f t="shared" ca="1" si="40"/>
        <v>0</v>
      </c>
      <c r="P274" s="21">
        <f t="shared" ca="1" si="40"/>
        <v>14479634.17</v>
      </c>
      <c r="Q274" s="21">
        <f t="shared" ca="1" si="40"/>
        <v>1490702.24</v>
      </c>
      <c r="R274" s="21">
        <f t="shared" ca="1" si="40"/>
        <v>2165624.73</v>
      </c>
      <c r="S274" s="21">
        <f t="shared" ca="1" si="40"/>
        <v>0</v>
      </c>
      <c r="T274" s="21">
        <f t="shared" ca="1" si="40"/>
        <v>18135961.140000001</v>
      </c>
      <c r="V274" s="20" t="str">
        <f t="shared" ca="1" si="21"/>
        <v>MiamimediumofficeTotal</v>
      </c>
      <c r="W274" s="20" t="str">
        <f t="shared" ca="1" si="22"/>
        <v>Miamimediumoffice</v>
      </c>
    </row>
    <row r="275" spans="11:23">
      <c r="K275" s="20" t="str">
        <f t="shared" ca="1" si="18"/>
        <v>Miami</v>
      </c>
      <c r="L275" s="20" t="str">
        <f t="shared" ca="1" si="19"/>
        <v>outpatient</v>
      </c>
      <c r="M275" s="2" t="s">
        <v>32</v>
      </c>
      <c r="N275" s="21">
        <f t="shared" ref="N275:T275" ca="1" si="41">SUMIF($W$3:$W$254,"="&amp;$K275&amp;$L275,N$3:N$254)</f>
        <v>0</v>
      </c>
      <c r="O275" s="21">
        <f t="shared" ca="1" si="41"/>
        <v>0</v>
      </c>
      <c r="P275" s="21">
        <f t="shared" ca="1" si="41"/>
        <v>0</v>
      </c>
      <c r="Q275" s="21">
        <f t="shared" ca="1" si="41"/>
        <v>0</v>
      </c>
      <c r="R275" s="21">
        <f t="shared" ca="1" si="41"/>
        <v>0</v>
      </c>
      <c r="S275" s="21">
        <f t="shared" ca="1" si="41"/>
        <v>0</v>
      </c>
      <c r="T275" s="21">
        <f t="shared" ca="1" si="41"/>
        <v>0</v>
      </c>
      <c r="V275" s="20" t="str">
        <f t="shared" ca="1" si="21"/>
        <v>MiamioutpatientTotal</v>
      </c>
      <c r="W275" s="20" t="str">
        <f t="shared" ca="1" si="22"/>
        <v>Miamioutpatient</v>
      </c>
    </row>
    <row r="276" spans="11:23">
      <c r="K276" s="20" t="str">
        <f t="shared" ca="1" si="18"/>
        <v>Miami</v>
      </c>
      <c r="L276" s="20" t="str">
        <f t="shared" ca="1" si="19"/>
        <v>primaryschool</v>
      </c>
      <c r="M276" s="2" t="s">
        <v>32</v>
      </c>
      <c r="N276" s="21">
        <f t="shared" ref="N276:T276" ca="1" si="42">SUMIF($W$3:$W$254,"="&amp;$K276&amp;$L276,N$3:N$254)</f>
        <v>0</v>
      </c>
      <c r="O276" s="21">
        <f t="shared" ca="1" si="42"/>
        <v>0</v>
      </c>
      <c r="P276" s="21">
        <f t="shared" ca="1" si="42"/>
        <v>21291152.77</v>
      </c>
      <c r="Q276" s="21">
        <f t="shared" ca="1" si="42"/>
        <v>21901127.629999999</v>
      </c>
      <c r="R276" s="21">
        <f t="shared" ca="1" si="42"/>
        <v>0</v>
      </c>
      <c r="S276" s="21">
        <f t="shared" ca="1" si="42"/>
        <v>0</v>
      </c>
      <c r="T276" s="21">
        <f t="shared" ca="1" si="42"/>
        <v>43192280.399999999</v>
      </c>
      <c r="V276" s="20" t="str">
        <f t="shared" ca="1" si="21"/>
        <v>MiamiprimaryschoolTotal</v>
      </c>
      <c r="W276" s="20" t="str">
        <f t="shared" ca="1" si="22"/>
        <v>Miamiprimaryschool</v>
      </c>
    </row>
    <row r="277" spans="11:23">
      <c r="K277" s="20" t="str">
        <f t="shared" ca="1" si="18"/>
        <v>Miami</v>
      </c>
      <c r="L277" s="20" t="str">
        <f t="shared" ca="1" si="19"/>
        <v>quickservicerestaurant</v>
      </c>
      <c r="M277" s="2" t="s">
        <v>32</v>
      </c>
      <c r="N277" s="21">
        <f t="shared" ref="N277:T277" ca="1" si="43">SUMIF($W$3:$W$254,"="&amp;$K277&amp;$L277,N$3:N$254)</f>
        <v>0</v>
      </c>
      <c r="O277" s="21">
        <f t="shared" ca="1" si="43"/>
        <v>0</v>
      </c>
      <c r="P277" s="21">
        <f t="shared" ca="1" si="43"/>
        <v>12638114.25</v>
      </c>
      <c r="Q277" s="21">
        <f t="shared" ca="1" si="43"/>
        <v>22923315.629999999</v>
      </c>
      <c r="R277" s="21">
        <f t="shared" ca="1" si="43"/>
        <v>0</v>
      </c>
      <c r="S277" s="21">
        <f t="shared" ca="1" si="43"/>
        <v>0</v>
      </c>
      <c r="T277" s="21">
        <f t="shared" ca="1" si="43"/>
        <v>35561429.879999995</v>
      </c>
      <c r="V277" s="20" t="str">
        <f t="shared" ca="1" si="21"/>
        <v>MiamiquickservicerestaurantTotal</v>
      </c>
      <c r="W277" s="20" t="str">
        <f t="shared" ca="1" si="22"/>
        <v>Miamiquickservicerestaurant</v>
      </c>
    </row>
    <row r="278" spans="11:23">
      <c r="K278" s="20" t="str">
        <f t="shared" ca="1" si="18"/>
        <v>Miami</v>
      </c>
      <c r="L278" s="20" t="str">
        <f t="shared" ca="1" si="19"/>
        <v>retailstandalone</v>
      </c>
      <c r="M278" s="2" t="s">
        <v>32</v>
      </c>
      <c r="N278" s="21">
        <f t="shared" ref="N278:T278" ca="1" si="44">SUMIF($W$3:$W$254,"="&amp;$K278&amp;$L278,N$3:N$254)</f>
        <v>0</v>
      </c>
      <c r="O278" s="21">
        <f t="shared" ca="1" si="44"/>
        <v>0</v>
      </c>
      <c r="P278" s="21">
        <f t="shared" ca="1" si="44"/>
        <v>17292330.16</v>
      </c>
      <c r="Q278" s="21">
        <f t="shared" ca="1" si="44"/>
        <v>6700677.7599999998</v>
      </c>
      <c r="R278" s="21">
        <f t="shared" ca="1" si="44"/>
        <v>2647861.2599999998</v>
      </c>
      <c r="S278" s="21">
        <f t="shared" ca="1" si="44"/>
        <v>0</v>
      </c>
      <c r="T278" s="21">
        <f t="shared" ca="1" si="44"/>
        <v>26640869.18</v>
      </c>
      <c r="V278" s="20" t="str">
        <f t="shared" ca="1" si="21"/>
        <v>MiamiretailstandaloneTotal</v>
      </c>
      <c r="W278" s="20" t="str">
        <f t="shared" ca="1" si="22"/>
        <v>Miamiretailstandalone</v>
      </c>
    </row>
    <row r="279" spans="11:23">
      <c r="K279" s="20" t="str">
        <f t="shared" ca="1" si="18"/>
        <v>Miami</v>
      </c>
      <c r="L279" s="20" t="str">
        <f t="shared" ca="1" si="19"/>
        <v>retailstripmall</v>
      </c>
      <c r="M279" s="2" t="s">
        <v>32</v>
      </c>
      <c r="N279" s="21">
        <f t="shared" ref="N279:T279" ca="1" si="45">SUMIF($W$3:$W$254,"="&amp;$K279&amp;$L279,N$3:N$254)</f>
        <v>0</v>
      </c>
      <c r="O279" s="21">
        <f t="shared" ca="1" si="45"/>
        <v>0</v>
      </c>
      <c r="P279" s="21">
        <f t="shared" ca="1" si="45"/>
        <v>47672198.119999997</v>
      </c>
      <c r="Q279" s="21">
        <f t="shared" ca="1" si="45"/>
        <v>36415161.329999998</v>
      </c>
      <c r="R279" s="21">
        <f t="shared" ca="1" si="45"/>
        <v>628686.24</v>
      </c>
      <c r="S279" s="21">
        <f t="shared" ca="1" si="45"/>
        <v>0</v>
      </c>
      <c r="T279" s="21">
        <f t="shared" ca="1" si="45"/>
        <v>84716045.689999998</v>
      </c>
      <c r="V279" s="20" t="str">
        <f t="shared" ca="1" si="21"/>
        <v>MiamiretailstripmallTotal</v>
      </c>
      <c r="W279" s="20" t="str">
        <f t="shared" ca="1" si="22"/>
        <v>Miamiretailstripmall</v>
      </c>
    </row>
    <row r="280" spans="11:23">
      <c r="K280" s="20" t="str">
        <f t="shared" ca="1" si="18"/>
        <v>Miami</v>
      </c>
      <c r="L280" s="20" t="str">
        <f t="shared" ca="1" si="19"/>
        <v>secondaryschool</v>
      </c>
      <c r="M280" s="2" t="s">
        <v>32</v>
      </c>
      <c r="N280" s="21">
        <f t="shared" ref="N280:T280" ca="1" si="46">SUMIF($W$3:$W$254,"="&amp;$K280&amp;$L280,N$3:N$254)</f>
        <v>0</v>
      </c>
      <c r="O280" s="21">
        <f t="shared" ca="1" si="46"/>
        <v>0</v>
      </c>
      <c r="P280" s="21">
        <f t="shared" ca="1" si="46"/>
        <v>7301242.7399999993</v>
      </c>
      <c r="Q280" s="21">
        <f t="shared" ca="1" si="46"/>
        <v>5820296.79</v>
      </c>
      <c r="R280" s="21">
        <f t="shared" ca="1" si="46"/>
        <v>0</v>
      </c>
      <c r="S280" s="21">
        <f t="shared" ca="1" si="46"/>
        <v>0</v>
      </c>
      <c r="T280" s="21">
        <f t="shared" ca="1" si="46"/>
        <v>13121539.530000001</v>
      </c>
      <c r="V280" s="20" t="str">
        <f t="shared" ca="1" si="21"/>
        <v>MiamisecondaryschoolTotal</v>
      </c>
      <c r="W280" s="20" t="str">
        <f t="shared" ca="1" si="22"/>
        <v>Miamisecondaryschool</v>
      </c>
    </row>
    <row r="281" spans="11:23">
      <c r="K281" s="20" t="str">
        <f t="shared" ca="1" si="18"/>
        <v>Miami</v>
      </c>
      <c r="L281" s="20" t="str">
        <f t="shared" ca="1" si="19"/>
        <v>smallhotel</v>
      </c>
      <c r="M281" s="2" t="s">
        <v>32</v>
      </c>
      <c r="N281" s="21">
        <f t="shared" ref="N281:T281" ca="1" si="47">SUMIF($W$3:$W$254,"="&amp;$K281&amp;$L281,N$3:N$254)</f>
        <v>0</v>
      </c>
      <c r="O281" s="21">
        <f t="shared" ca="1" si="47"/>
        <v>0</v>
      </c>
      <c r="P281" s="21">
        <f t="shared" ca="1" si="47"/>
        <v>10942888.189999999</v>
      </c>
      <c r="Q281" s="21">
        <f t="shared" ca="1" si="47"/>
        <v>2809698.22</v>
      </c>
      <c r="R281" s="21">
        <f t="shared" ca="1" si="47"/>
        <v>0</v>
      </c>
      <c r="S281" s="21">
        <f t="shared" ca="1" si="47"/>
        <v>0</v>
      </c>
      <c r="T281" s="21">
        <f t="shared" ca="1" si="47"/>
        <v>13752586.41</v>
      </c>
      <c r="V281" s="20" t="str">
        <f t="shared" ca="1" si="21"/>
        <v>MiamismallhotelTotal</v>
      </c>
      <c r="W281" s="20" t="str">
        <f t="shared" ca="1" si="22"/>
        <v>Miamismallhotel</v>
      </c>
    </row>
    <row r="282" spans="11:23">
      <c r="K282" s="20" t="str">
        <f t="shared" ca="1" si="18"/>
        <v>Miami</v>
      </c>
      <c r="L282" s="20" t="str">
        <f t="shared" ca="1" si="19"/>
        <v>smalloffice</v>
      </c>
      <c r="M282" s="2" t="s">
        <v>32</v>
      </c>
      <c r="N282" s="21">
        <f t="shared" ref="N282:T282" ca="1" si="48">SUMIF($W$3:$W$254,"="&amp;$K282&amp;$L282,N$3:N$254)</f>
        <v>0</v>
      </c>
      <c r="O282" s="21">
        <f t="shared" ca="1" si="48"/>
        <v>0</v>
      </c>
      <c r="P282" s="21">
        <f t="shared" ca="1" si="48"/>
        <v>17472113.590000004</v>
      </c>
      <c r="Q282" s="21">
        <f t="shared" ca="1" si="48"/>
        <v>6533774.3100000005</v>
      </c>
      <c r="R282" s="21">
        <f t="shared" ca="1" si="48"/>
        <v>818288.98</v>
      </c>
      <c r="S282" s="21">
        <f t="shared" ca="1" si="48"/>
        <v>0</v>
      </c>
      <c r="T282" s="21">
        <f t="shared" ca="1" si="48"/>
        <v>24824176.880000003</v>
      </c>
      <c r="V282" s="20" t="str">
        <f t="shared" ca="1" si="21"/>
        <v>MiamismallofficeTotal</v>
      </c>
      <c r="W282" s="20" t="str">
        <f t="shared" ca="1" si="22"/>
        <v>Miamismalloffice</v>
      </c>
    </row>
    <row r="283" spans="11:23">
      <c r="K283" s="20" t="str">
        <f t="shared" ca="1" si="18"/>
        <v>Miami</v>
      </c>
      <c r="L283" s="20" t="str">
        <f t="shared" ca="1" si="19"/>
        <v>warehouse</v>
      </c>
      <c r="M283" s="2" t="s">
        <v>32</v>
      </c>
      <c r="N283" s="21">
        <f t="shared" ref="N283:T283" ca="1" si="49">SUMIF($W$3:$W$254,"="&amp;$K283&amp;$L283,N$3:N$254)</f>
        <v>0</v>
      </c>
      <c r="O283" s="21">
        <f t="shared" ca="1" si="49"/>
        <v>0</v>
      </c>
      <c r="P283" s="21">
        <f t="shared" ca="1" si="49"/>
        <v>39671465.580000006</v>
      </c>
      <c r="Q283" s="21">
        <f t="shared" ca="1" si="49"/>
        <v>3800749.5</v>
      </c>
      <c r="R283" s="21">
        <f t="shared" ca="1" si="49"/>
        <v>164551.51</v>
      </c>
      <c r="S283" s="21">
        <f t="shared" ca="1" si="49"/>
        <v>0</v>
      </c>
      <c r="T283" s="21">
        <f t="shared" ca="1" si="49"/>
        <v>43636766.590000004</v>
      </c>
      <c r="V283" s="20" t="str">
        <f t="shared" ca="1" si="21"/>
        <v>MiamiwarehouseTotal</v>
      </c>
      <c r="W283" s="20" t="str">
        <f t="shared" ca="1" si="22"/>
        <v>Miamiwarehouse</v>
      </c>
    </row>
    <row r="284" spans="11:23">
      <c r="K284" s="20" t="str">
        <f t="shared" ca="1" si="18"/>
        <v>Montgomery</v>
      </c>
      <c r="L284" s="20" t="str">
        <f t="shared" ca="1" si="19"/>
        <v>fullservicerestaurant</v>
      </c>
      <c r="M284" s="2" t="s">
        <v>32</v>
      </c>
      <c r="N284" s="21">
        <f t="shared" ref="N284:T284" ca="1" si="50">SUMIF($W$3:$W$254,"="&amp;$K284&amp;$L284,N$3:N$254)</f>
        <v>0</v>
      </c>
      <c r="O284" s="21">
        <f t="shared" ca="1" si="50"/>
        <v>0</v>
      </c>
      <c r="P284" s="21">
        <f t="shared" ca="1" si="50"/>
        <v>157485979.35999998</v>
      </c>
      <c r="Q284" s="21">
        <f t="shared" ca="1" si="50"/>
        <v>274559878.14999998</v>
      </c>
      <c r="R284" s="21">
        <f t="shared" ca="1" si="50"/>
        <v>6374073.3700000001</v>
      </c>
      <c r="S284" s="21">
        <f t="shared" ca="1" si="50"/>
        <v>0</v>
      </c>
      <c r="T284" s="21">
        <f t="shared" ca="1" si="50"/>
        <v>438419930.88000005</v>
      </c>
      <c r="V284" s="20" t="str">
        <f t="shared" ca="1" si="21"/>
        <v>MontgomeryfullservicerestaurantTotal</v>
      </c>
      <c r="W284" s="20" t="str">
        <f t="shared" ca="1" si="22"/>
        <v>Montgomeryfullservicerestaurant</v>
      </c>
    </row>
    <row r="285" spans="11:23">
      <c r="K285" s="20" t="str">
        <f t="shared" ca="1" si="18"/>
        <v>Montgomery</v>
      </c>
      <c r="L285" s="20" t="str">
        <f t="shared" ca="1" si="19"/>
        <v>hospital</v>
      </c>
      <c r="M285" s="2" t="s">
        <v>32</v>
      </c>
      <c r="N285" s="21">
        <f t="shared" ref="N285:T285" ca="1" si="51">SUMIF($W$3:$W$254,"="&amp;$K285&amp;$L285,N$3:N$254)</f>
        <v>0</v>
      </c>
      <c r="O285" s="21">
        <f t="shared" ca="1" si="51"/>
        <v>0</v>
      </c>
      <c r="P285" s="21">
        <f t="shared" ca="1" si="51"/>
        <v>169148994.54999998</v>
      </c>
      <c r="Q285" s="21">
        <f t="shared" ca="1" si="51"/>
        <v>63047885.840000004</v>
      </c>
      <c r="R285" s="21">
        <f t="shared" ca="1" si="51"/>
        <v>0</v>
      </c>
      <c r="S285" s="21">
        <f t="shared" ca="1" si="51"/>
        <v>0</v>
      </c>
      <c r="T285" s="21">
        <f t="shared" ca="1" si="51"/>
        <v>232196880.38999999</v>
      </c>
      <c r="V285" s="20" t="str">
        <f t="shared" ca="1" si="21"/>
        <v>MontgomeryhospitalTotal</v>
      </c>
      <c r="W285" s="20" t="str">
        <f t="shared" ca="1" si="22"/>
        <v>Montgomeryhospital</v>
      </c>
    </row>
    <row r="286" spans="11:23">
      <c r="K286" s="20" t="str">
        <f t="shared" ca="1" si="18"/>
        <v>Montgomery</v>
      </c>
      <c r="L286" s="20" t="str">
        <f t="shared" ca="1" si="19"/>
        <v>largehotel</v>
      </c>
      <c r="M286" s="2" t="s">
        <v>32</v>
      </c>
      <c r="N286" s="21">
        <f t="shared" ref="N286:T286" ca="1" si="52">SUMIF($W$3:$W$254,"="&amp;$K286&amp;$L286,N$3:N$254)</f>
        <v>0</v>
      </c>
      <c r="O286" s="21">
        <f t="shared" ca="1" si="52"/>
        <v>0</v>
      </c>
      <c r="P286" s="21">
        <f t="shared" ca="1" si="52"/>
        <v>14315830.32</v>
      </c>
      <c r="Q286" s="21">
        <f t="shared" ca="1" si="52"/>
        <v>8094451.0700000003</v>
      </c>
      <c r="R286" s="21">
        <f t="shared" ca="1" si="52"/>
        <v>0</v>
      </c>
      <c r="S286" s="21">
        <f t="shared" ca="1" si="52"/>
        <v>0</v>
      </c>
      <c r="T286" s="21">
        <f t="shared" ca="1" si="52"/>
        <v>22410281.390000001</v>
      </c>
      <c r="V286" s="20" t="str">
        <f t="shared" ca="1" si="21"/>
        <v>MontgomerylargehotelTotal</v>
      </c>
      <c r="W286" s="20" t="str">
        <f t="shared" ca="1" si="22"/>
        <v>Montgomerylargehotel</v>
      </c>
    </row>
    <row r="287" spans="11:23">
      <c r="K287" s="20" t="str">
        <f t="shared" ca="1" si="18"/>
        <v>Montgomery</v>
      </c>
      <c r="L287" s="20" t="str">
        <f t="shared" ca="1" si="19"/>
        <v>largeoffice</v>
      </c>
      <c r="M287" s="2" t="s">
        <v>32</v>
      </c>
      <c r="N287" s="21">
        <f t="shared" ref="N287:T287" ca="1" si="53">SUMIF($W$3:$W$254,"="&amp;$K287&amp;$L287,N$3:N$254)</f>
        <v>0</v>
      </c>
      <c r="O287" s="21">
        <f t="shared" ca="1" si="53"/>
        <v>0</v>
      </c>
      <c r="P287" s="21">
        <f t="shared" ca="1" si="53"/>
        <v>87996476.879999995</v>
      </c>
      <c r="Q287" s="21">
        <f t="shared" ca="1" si="53"/>
        <v>12383563.289999999</v>
      </c>
      <c r="R287" s="21">
        <f t="shared" ca="1" si="53"/>
        <v>0</v>
      </c>
      <c r="S287" s="21">
        <f t="shared" ca="1" si="53"/>
        <v>0</v>
      </c>
      <c r="T287" s="21">
        <f t="shared" ca="1" si="53"/>
        <v>100380040.17</v>
      </c>
      <c r="V287" s="20" t="str">
        <f t="shared" ca="1" si="21"/>
        <v>MontgomerylargeofficeTotal</v>
      </c>
      <c r="W287" s="20" t="str">
        <f t="shared" ca="1" si="22"/>
        <v>Montgomerylargeoffice</v>
      </c>
    </row>
    <row r="288" spans="11:23">
      <c r="K288" s="20" t="str">
        <f t="shared" ca="1" si="18"/>
        <v>Montgomery</v>
      </c>
      <c r="L288" s="20" t="str">
        <f t="shared" ca="1" si="19"/>
        <v>mediumoffice</v>
      </c>
      <c r="M288" s="2" t="s">
        <v>32</v>
      </c>
      <c r="N288" s="21">
        <f t="shared" ref="N288:T288" ca="1" si="54">SUMIF($W$3:$W$254,"="&amp;$K288&amp;$L288,N$3:N$254)</f>
        <v>0</v>
      </c>
      <c r="O288" s="21">
        <f t="shared" ca="1" si="54"/>
        <v>0</v>
      </c>
      <c r="P288" s="21">
        <f t="shared" ca="1" si="54"/>
        <v>133328239.31000002</v>
      </c>
      <c r="Q288" s="21">
        <f t="shared" ca="1" si="54"/>
        <v>45906271.899999999</v>
      </c>
      <c r="R288" s="21">
        <f t="shared" ca="1" si="54"/>
        <v>0</v>
      </c>
      <c r="S288" s="21">
        <f t="shared" ca="1" si="54"/>
        <v>0</v>
      </c>
      <c r="T288" s="21">
        <f t="shared" ca="1" si="54"/>
        <v>179234511.21000001</v>
      </c>
      <c r="V288" s="20" t="str">
        <f t="shared" ca="1" si="21"/>
        <v>MontgomerymediumofficeTotal</v>
      </c>
      <c r="W288" s="20" t="str">
        <f t="shared" ca="1" si="22"/>
        <v>Montgomerymediumoffice</v>
      </c>
    </row>
    <row r="289" spans="11:23">
      <c r="K289" s="20" t="str">
        <f t="shared" ca="1" si="18"/>
        <v>Montgomery</v>
      </c>
      <c r="L289" s="20" t="str">
        <f t="shared" ca="1" si="19"/>
        <v>outpatient</v>
      </c>
      <c r="M289" s="2" t="s">
        <v>32</v>
      </c>
      <c r="N289" s="21">
        <f t="shared" ref="N289:T289" ca="1" si="55">SUMIF($W$3:$W$254,"="&amp;$K289&amp;$L289,N$3:N$254)</f>
        <v>0</v>
      </c>
      <c r="O289" s="21">
        <f t="shared" ca="1" si="55"/>
        <v>0</v>
      </c>
      <c r="P289" s="21">
        <f t="shared" ca="1" si="55"/>
        <v>268385074.88999996</v>
      </c>
      <c r="Q289" s="21">
        <f t="shared" ca="1" si="55"/>
        <v>92898198.809999987</v>
      </c>
      <c r="R289" s="21">
        <f t="shared" ca="1" si="55"/>
        <v>0</v>
      </c>
      <c r="S289" s="21">
        <f t="shared" ca="1" si="55"/>
        <v>0</v>
      </c>
      <c r="T289" s="21">
        <f t="shared" ca="1" si="55"/>
        <v>361283273.70000005</v>
      </c>
      <c r="V289" s="20" t="str">
        <f t="shared" ca="1" si="21"/>
        <v>MontgomeryoutpatientTotal</v>
      </c>
      <c r="W289" s="20" t="str">
        <f t="shared" ca="1" si="22"/>
        <v>Montgomeryoutpatient</v>
      </c>
    </row>
    <row r="290" spans="11:23">
      <c r="K290" s="20" t="str">
        <f t="shared" ca="1" si="18"/>
        <v>Montgomery</v>
      </c>
      <c r="L290" s="20" t="str">
        <f t="shared" ca="1" si="19"/>
        <v>primaryschool</v>
      </c>
      <c r="M290" s="2" t="s">
        <v>32</v>
      </c>
      <c r="N290" s="21">
        <f t="shared" ref="N290:T290" ca="1" si="56">SUMIF($W$3:$W$254,"="&amp;$K290&amp;$L290,N$3:N$254)</f>
        <v>0</v>
      </c>
      <c r="O290" s="21">
        <f t="shared" ca="1" si="56"/>
        <v>0</v>
      </c>
      <c r="P290" s="21">
        <f t="shared" ca="1" si="56"/>
        <v>78157440.24000001</v>
      </c>
      <c r="Q290" s="21">
        <f t="shared" ca="1" si="56"/>
        <v>92154853.819999993</v>
      </c>
      <c r="R290" s="21">
        <f t="shared" ca="1" si="56"/>
        <v>1140361.44</v>
      </c>
      <c r="S290" s="21">
        <f t="shared" ca="1" si="56"/>
        <v>0</v>
      </c>
      <c r="T290" s="21">
        <f t="shared" ca="1" si="56"/>
        <v>171452655.5</v>
      </c>
      <c r="V290" s="20" t="str">
        <f t="shared" ca="1" si="21"/>
        <v>MontgomeryprimaryschoolTotal</v>
      </c>
      <c r="W290" s="20" t="str">
        <f t="shared" ca="1" si="22"/>
        <v>Montgomeryprimaryschool</v>
      </c>
    </row>
    <row r="291" spans="11:23">
      <c r="K291" s="20" t="str">
        <f t="shared" ca="1" si="18"/>
        <v>Montgomery</v>
      </c>
      <c r="L291" s="20" t="str">
        <f t="shared" ca="1" si="19"/>
        <v>quickservicerestaurant</v>
      </c>
      <c r="M291" s="2" t="s">
        <v>32</v>
      </c>
      <c r="N291" s="21">
        <f t="shared" ref="N291:T291" ca="1" si="57">SUMIF($W$3:$W$254,"="&amp;$K291&amp;$L291,N$3:N$254)</f>
        <v>0</v>
      </c>
      <c r="O291" s="21">
        <f t="shared" ca="1" si="57"/>
        <v>0</v>
      </c>
      <c r="P291" s="21">
        <f t="shared" ca="1" si="57"/>
        <v>48595793.170000002</v>
      </c>
      <c r="Q291" s="21">
        <f t="shared" ca="1" si="57"/>
        <v>107174001.92</v>
      </c>
      <c r="R291" s="21">
        <f t="shared" ca="1" si="57"/>
        <v>0</v>
      </c>
      <c r="S291" s="21">
        <f t="shared" ca="1" si="57"/>
        <v>0</v>
      </c>
      <c r="T291" s="21">
        <f t="shared" ca="1" si="57"/>
        <v>155769795.08999997</v>
      </c>
      <c r="V291" s="20" t="str">
        <f t="shared" ca="1" si="21"/>
        <v>MontgomeryquickservicerestaurantTotal</v>
      </c>
      <c r="W291" s="20" t="str">
        <f t="shared" ca="1" si="22"/>
        <v>Montgomeryquickservicerestaurant</v>
      </c>
    </row>
    <row r="292" spans="11:23">
      <c r="K292" s="20" t="str">
        <f t="shared" ca="1" si="18"/>
        <v>Montgomery</v>
      </c>
      <c r="L292" s="20" t="str">
        <f t="shared" ca="1" si="19"/>
        <v>retailstandalone</v>
      </c>
      <c r="M292" s="2" t="s">
        <v>32</v>
      </c>
      <c r="N292" s="21">
        <f t="shared" ref="N292:T292" ca="1" si="58">SUMIF($W$3:$W$254,"="&amp;$K292&amp;$L292,N$3:N$254)</f>
        <v>0</v>
      </c>
      <c r="O292" s="21">
        <f t="shared" ca="1" si="58"/>
        <v>0</v>
      </c>
      <c r="P292" s="21">
        <f t="shared" ca="1" si="58"/>
        <v>133759045.98000002</v>
      </c>
      <c r="Q292" s="21">
        <f t="shared" ca="1" si="58"/>
        <v>80459996.890000001</v>
      </c>
      <c r="R292" s="21">
        <f t="shared" ca="1" si="58"/>
        <v>3016137.19</v>
      </c>
      <c r="S292" s="21">
        <f t="shared" ca="1" si="58"/>
        <v>0</v>
      </c>
      <c r="T292" s="21">
        <f t="shared" ca="1" si="58"/>
        <v>217235180.06</v>
      </c>
      <c r="V292" s="20" t="str">
        <f t="shared" ca="1" si="21"/>
        <v>MontgomeryretailstandaloneTotal</v>
      </c>
      <c r="W292" s="20" t="str">
        <f t="shared" ca="1" si="22"/>
        <v>Montgomeryretailstandalone</v>
      </c>
    </row>
    <row r="293" spans="11:23">
      <c r="K293" s="20" t="str">
        <f t="shared" ca="1" si="18"/>
        <v>Montgomery</v>
      </c>
      <c r="L293" s="20" t="str">
        <f t="shared" ca="1" si="19"/>
        <v>retailstripmall</v>
      </c>
      <c r="M293" s="2" t="s">
        <v>32</v>
      </c>
      <c r="N293" s="21">
        <f t="shared" ref="N293:T293" ca="1" si="59">SUMIF($W$3:$W$254,"="&amp;$K293&amp;$L293,N$3:N$254)</f>
        <v>0</v>
      </c>
      <c r="O293" s="21">
        <f t="shared" ca="1" si="59"/>
        <v>0</v>
      </c>
      <c r="P293" s="21">
        <f t="shared" ca="1" si="59"/>
        <v>282115358.16999996</v>
      </c>
      <c r="Q293" s="21">
        <f t="shared" ca="1" si="59"/>
        <v>201868001.47</v>
      </c>
      <c r="R293" s="21">
        <f t="shared" ca="1" si="59"/>
        <v>8994939</v>
      </c>
      <c r="S293" s="21">
        <f t="shared" ca="1" si="59"/>
        <v>0</v>
      </c>
      <c r="T293" s="21">
        <f t="shared" ca="1" si="59"/>
        <v>492978298.63999999</v>
      </c>
      <c r="V293" s="20" t="str">
        <f t="shared" ca="1" si="21"/>
        <v>MontgomeryretailstripmallTotal</v>
      </c>
      <c r="W293" s="20" t="str">
        <f t="shared" ca="1" si="22"/>
        <v>Montgomeryretailstripmall</v>
      </c>
    </row>
    <row r="294" spans="11:23">
      <c r="K294" s="20" t="str">
        <f t="shared" ca="1" si="18"/>
        <v>Montgomery</v>
      </c>
      <c r="L294" s="20" t="str">
        <f t="shared" ca="1" si="19"/>
        <v>secondaryschool</v>
      </c>
      <c r="M294" s="2" t="s">
        <v>32</v>
      </c>
      <c r="N294" s="21">
        <f t="shared" ref="N294:T294" ca="1" si="60">SUMIF($W$3:$W$254,"="&amp;$K294&amp;$L294,N$3:N$254)</f>
        <v>0</v>
      </c>
      <c r="O294" s="21">
        <f t="shared" ca="1" si="60"/>
        <v>1395470.52</v>
      </c>
      <c r="P294" s="21">
        <f t="shared" ca="1" si="60"/>
        <v>60970747.659999996</v>
      </c>
      <c r="Q294" s="21">
        <f t="shared" ca="1" si="60"/>
        <v>31891406.409999996</v>
      </c>
      <c r="R294" s="21">
        <f t="shared" ca="1" si="60"/>
        <v>0</v>
      </c>
      <c r="S294" s="21">
        <f t="shared" ca="1" si="60"/>
        <v>0</v>
      </c>
      <c r="T294" s="21">
        <f t="shared" ca="1" si="60"/>
        <v>94257624.590000004</v>
      </c>
      <c r="V294" s="20" t="str">
        <f t="shared" ca="1" si="21"/>
        <v>MontgomerysecondaryschoolTotal</v>
      </c>
      <c r="W294" s="20" t="str">
        <f t="shared" ca="1" si="22"/>
        <v>Montgomerysecondaryschool</v>
      </c>
    </row>
    <row r="295" spans="11:23">
      <c r="K295" s="20" t="str">
        <f t="shared" ca="1" si="18"/>
        <v>Montgomery</v>
      </c>
      <c r="L295" s="20" t="str">
        <f t="shared" ca="1" si="19"/>
        <v>smallhotel</v>
      </c>
      <c r="M295" s="2" t="s">
        <v>32</v>
      </c>
      <c r="N295" s="21">
        <f t="shared" ref="N295:T295" ca="1" si="61">SUMIF($W$3:$W$254,"="&amp;$K295&amp;$L295,N$3:N$254)</f>
        <v>0</v>
      </c>
      <c r="O295" s="21">
        <f t="shared" ca="1" si="61"/>
        <v>0</v>
      </c>
      <c r="P295" s="21">
        <f t="shared" ca="1" si="61"/>
        <v>15082905.1</v>
      </c>
      <c r="Q295" s="21">
        <f t="shared" ca="1" si="61"/>
        <v>11305660.310000001</v>
      </c>
      <c r="R295" s="21">
        <f t="shared" ca="1" si="61"/>
        <v>0</v>
      </c>
      <c r="S295" s="21">
        <f t="shared" ca="1" si="61"/>
        <v>0</v>
      </c>
      <c r="T295" s="21">
        <f t="shared" ca="1" si="61"/>
        <v>26388565.41</v>
      </c>
      <c r="V295" s="20" t="str">
        <f t="shared" ca="1" si="21"/>
        <v>MontgomerysmallhotelTotal</v>
      </c>
      <c r="W295" s="20" t="str">
        <f t="shared" ca="1" si="22"/>
        <v>Montgomerysmallhotel</v>
      </c>
    </row>
    <row r="296" spans="11:23">
      <c r="K296" s="20" t="str">
        <f t="shared" ca="1" si="18"/>
        <v>Montgomery</v>
      </c>
      <c r="L296" s="20" t="str">
        <f t="shared" ca="1" si="19"/>
        <v>smalloffice</v>
      </c>
      <c r="M296" s="2" t="s">
        <v>32</v>
      </c>
      <c r="N296" s="21">
        <f t="shared" ref="N296:T296" ca="1" si="62">SUMIF($W$3:$W$254,"="&amp;$K296&amp;$L296,N$3:N$254)</f>
        <v>0</v>
      </c>
      <c r="O296" s="21">
        <f t="shared" ca="1" si="62"/>
        <v>481038.79</v>
      </c>
      <c r="P296" s="21">
        <f t="shared" ca="1" si="62"/>
        <v>103180178.03</v>
      </c>
      <c r="Q296" s="21">
        <f t="shared" ca="1" si="62"/>
        <v>55576504.479999997</v>
      </c>
      <c r="R296" s="21">
        <f t="shared" ca="1" si="62"/>
        <v>1109413.48</v>
      </c>
      <c r="S296" s="21">
        <f t="shared" ca="1" si="62"/>
        <v>0</v>
      </c>
      <c r="T296" s="21">
        <f t="shared" ca="1" si="62"/>
        <v>160347134.78</v>
      </c>
      <c r="V296" s="20" t="str">
        <f t="shared" ca="1" si="21"/>
        <v>MontgomerysmallofficeTotal</v>
      </c>
      <c r="W296" s="20" t="str">
        <f t="shared" ca="1" si="22"/>
        <v>Montgomerysmalloffice</v>
      </c>
    </row>
    <row r="297" spans="11:23">
      <c r="K297" s="20" t="str">
        <f t="shared" ca="1" si="18"/>
        <v>Montgomery</v>
      </c>
      <c r="L297" s="20" t="str">
        <f t="shared" ca="1" si="19"/>
        <v>warehouse</v>
      </c>
      <c r="M297" s="2" t="s">
        <v>32</v>
      </c>
      <c r="N297" s="21">
        <f t="shared" ref="N297:T297" ca="1" si="63">SUMIF($W$3:$W$254,"="&amp;$K297&amp;$L297,N$3:N$254)</f>
        <v>0</v>
      </c>
      <c r="O297" s="21">
        <f t="shared" ca="1" si="63"/>
        <v>228690.12</v>
      </c>
      <c r="P297" s="21">
        <f t="shared" ca="1" si="63"/>
        <v>245379371.52999997</v>
      </c>
      <c r="Q297" s="21">
        <f t="shared" ca="1" si="63"/>
        <v>39202189.740000002</v>
      </c>
      <c r="R297" s="21">
        <f t="shared" ca="1" si="63"/>
        <v>1384676.13</v>
      </c>
      <c r="S297" s="21">
        <f t="shared" ca="1" si="63"/>
        <v>0</v>
      </c>
      <c r="T297" s="21">
        <f t="shared" ca="1" si="63"/>
        <v>286194927.51999998</v>
      </c>
      <c r="V297" s="20" t="str">
        <f t="shared" ca="1" si="21"/>
        <v>MontgomerywarehouseTotal</v>
      </c>
      <c r="W297" s="20" t="str">
        <f t="shared" ca="1" si="22"/>
        <v>Montgomerywarehouse</v>
      </c>
    </row>
    <row r="677" spans="11:22">
      <c r="K677" s="20" t="s">
        <v>390</v>
      </c>
      <c r="L677" s="20" t="s">
        <v>428</v>
      </c>
      <c r="M677" s="20" t="s">
        <v>32</v>
      </c>
      <c r="N677" s="20">
        <f t="shared" ref="N677:S677" ca="1" si="64">SUMIF($W$3:$W$674,"="&amp;$K677&amp;$L677,N$3:N$674)</f>
        <v>0</v>
      </c>
      <c r="O677" s="20">
        <f t="shared" ca="1" si="64"/>
        <v>0</v>
      </c>
      <c r="P677" s="20">
        <f t="shared" ca="1" si="64"/>
        <v>0</v>
      </c>
      <c r="Q677" s="20">
        <f t="shared" ca="1" si="64"/>
        <v>0</v>
      </c>
      <c r="R677" s="20">
        <f t="shared" ca="1" si="64"/>
        <v>0</v>
      </c>
      <c r="S677" s="20">
        <f t="shared" ca="1" si="64"/>
        <v>0</v>
      </c>
      <c r="U677" s="20" t="str">
        <f t="shared" ref="U677:U788" si="65">IFERROR(VLOOKUP(L677,$Y$3:$Z$24,2,FALSE),"")</f>
        <v>other</v>
      </c>
      <c r="V677" s="20" t="str">
        <f t="shared" ref="V677:V788" si="66">K677&amp;L677</f>
        <v>Lapeerfullservicerestaurant</v>
      </c>
    </row>
    <row r="678" spans="11:22">
      <c r="K678" s="20" t="s">
        <v>390</v>
      </c>
      <c r="L678" s="20" t="s">
        <v>449</v>
      </c>
      <c r="M678" s="20" t="s">
        <v>32</v>
      </c>
      <c r="N678" s="20">
        <f t="shared" ref="N678:S678" ca="1" si="67">SUMIF($W$3:$W$674,"="&amp;$K678&amp;$L678,N$3:N$674)</f>
        <v>0</v>
      </c>
      <c r="O678" s="20">
        <f t="shared" ca="1" si="67"/>
        <v>0</v>
      </c>
      <c r="P678" s="20">
        <f t="shared" ca="1" si="67"/>
        <v>0</v>
      </c>
      <c r="Q678" s="20">
        <f t="shared" ca="1" si="67"/>
        <v>0</v>
      </c>
      <c r="R678" s="20">
        <f t="shared" ca="1" si="67"/>
        <v>0</v>
      </c>
      <c r="S678" s="20">
        <f t="shared" ca="1" si="67"/>
        <v>0</v>
      </c>
      <c r="U678" s="20" t="str">
        <f t="shared" si="65"/>
        <v/>
      </c>
      <c r="V678" s="20" t="str">
        <f t="shared" si="66"/>
        <v>Lapeerhospital</v>
      </c>
    </row>
    <row r="679" spans="11:22">
      <c r="K679" s="20" t="s">
        <v>390</v>
      </c>
      <c r="L679" s="20" t="s">
        <v>458</v>
      </c>
      <c r="M679" s="20" t="s">
        <v>32</v>
      </c>
      <c r="N679" s="20">
        <f t="shared" ref="N679:S679" ca="1" si="68">SUMIF($W$3:$W$674,"="&amp;$K679&amp;$L679,N$3:N$674)</f>
        <v>0</v>
      </c>
      <c r="O679" s="20">
        <f t="shared" ca="1" si="68"/>
        <v>0</v>
      </c>
      <c r="P679" s="20">
        <f t="shared" ca="1" si="68"/>
        <v>0</v>
      </c>
      <c r="Q679" s="20">
        <f t="shared" ca="1" si="68"/>
        <v>0</v>
      </c>
      <c r="R679" s="20">
        <f t="shared" ca="1" si="68"/>
        <v>0</v>
      </c>
      <c r="S679" s="20">
        <f t="shared" ca="1" si="68"/>
        <v>0</v>
      </c>
      <c r="U679" s="20" t="str">
        <f t="shared" si="65"/>
        <v/>
      </c>
      <c r="V679" s="20" t="str">
        <f t="shared" si="66"/>
        <v>Lapeerlargehotel</v>
      </c>
    </row>
    <row r="680" spans="11:22">
      <c r="K680" s="20" t="s">
        <v>390</v>
      </c>
      <c r="L680" s="20" t="s">
        <v>460</v>
      </c>
      <c r="M680" s="20" t="s">
        <v>32</v>
      </c>
      <c r="N680" s="20">
        <f t="shared" ref="N680:S680" ca="1" si="69">SUMIF($W$3:$W$674,"="&amp;$K680&amp;$L680,N$3:N$674)</f>
        <v>0</v>
      </c>
      <c r="O680" s="20">
        <f t="shared" ca="1" si="69"/>
        <v>0</v>
      </c>
      <c r="P680" s="20">
        <f t="shared" ca="1" si="69"/>
        <v>0</v>
      </c>
      <c r="Q680" s="20">
        <f t="shared" ca="1" si="69"/>
        <v>0</v>
      </c>
      <c r="R680" s="20">
        <f t="shared" ca="1" si="69"/>
        <v>0</v>
      </c>
      <c r="S680" s="20">
        <f t="shared" ca="1" si="69"/>
        <v>0</v>
      </c>
      <c r="U680" s="20" t="str">
        <f t="shared" si="65"/>
        <v/>
      </c>
      <c r="V680" s="20" t="str">
        <f t="shared" si="66"/>
        <v>Lapeerlargeoffice</v>
      </c>
    </row>
    <row r="681" spans="11:22">
      <c r="K681" s="20" t="s">
        <v>390</v>
      </c>
      <c r="L681" s="20" t="s">
        <v>434</v>
      </c>
      <c r="M681" s="20" t="s">
        <v>32</v>
      </c>
      <c r="N681" s="20">
        <f t="shared" ref="N681:S681" ca="1" si="70">SUMIF($W$3:$W$674,"="&amp;$K681&amp;$L681,N$3:N$674)</f>
        <v>0</v>
      </c>
      <c r="O681" s="20">
        <f t="shared" ca="1" si="70"/>
        <v>0</v>
      </c>
      <c r="P681" s="20">
        <f t="shared" ca="1" si="70"/>
        <v>0</v>
      </c>
      <c r="Q681" s="20">
        <f t="shared" ca="1" si="70"/>
        <v>0</v>
      </c>
      <c r="R681" s="20">
        <f t="shared" ca="1" si="70"/>
        <v>0</v>
      </c>
      <c r="S681" s="20">
        <f t="shared" ca="1" si="70"/>
        <v>0</v>
      </c>
      <c r="U681" s="20" t="str">
        <f t="shared" si="65"/>
        <v>commercial_office</v>
      </c>
      <c r="V681" s="20" t="str">
        <f t="shared" si="66"/>
        <v>Lapeermediumoffice</v>
      </c>
    </row>
    <row r="682" spans="11:22">
      <c r="K682" s="20" t="s">
        <v>390</v>
      </c>
      <c r="L682" s="20" t="s">
        <v>461</v>
      </c>
      <c r="M682" s="20" t="s">
        <v>32</v>
      </c>
      <c r="N682" s="20">
        <f t="shared" ref="N682:S682" ca="1" si="71">SUMIF($W$3:$W$674,"="&amp;$K682&amp;$L682,N$3:N$674)</f>
        <v>0</v>
      </c>
      <c r="O682" s="20">
        <f t="shared" ca="1" si="71"/>
        <v>0</v>
      </c>
      <c r="P682" s="20">
        <f t="shared" ca="1" si="71"/>
        <v>0</v>
      </c>
      <c r="Q682" s="20">
        <f t="shared" ca="1" si="71"/>
        <v>0</v>
      </c>
      <c r="R682" s="20">
        <f t="shared" ca="1" si="71"/>
        <v>0</v>
      </c>
      <c r="S682" s="20">
        <f t="shared" ca="1" si="71"/>
        <v>0</v>
      </c>
      <c r="U682" s="20" t="str">
        <f t="shared" si="65"/>
        <v/>
      </c>
      <c r="V682" s="20" t="str">
        <f t="shared" si="66"/>
        <v>Lapeeroutpatient</v>
      </c>
    </row>
    <row r="683" spans="11:22">
      <c r="K683" s="20" t="s">
        <v>390</v>
      </c>
      <c r="L683" s="20" t="s">
        <v>446</v>
      </c>
      <c r="M683" s="20" t="s">
        <v>32</v>
      </c>
      <c r="N683" s="20">
        <f t="shared" ref="N683:S683" ca="1" si="72">SUMIF($W$3:$W$674,"="&amp;$K683&amp;$L683,N$3:N$674)</f>
        <v>0</v>
      </c>
      <c r="O683" s="20">
        <f t="shared" ca="1" si="72"/>
        <v>0</v>
      </c>
      <c r="P683" s="20">
        <f t="shared" ca="1" si="72"/>
        <v>0</v>
      </c>
      <c r="Q683" s="20">
        <f t="shared" ca="1" si="72"/>
        <v>0</v>
      </c>
      <c r="R683" s="20">
        <f t="shared" ca="1" si="72"/>
        <v>0</v>
      </c>
      <c r="S683" s="20">
        <f t="shared" ca="1" si="72"/>
        <v>0</v>
      </c>
      <c r="U683" s="20" t="str">
        <f t="shared" si="65"/>
        <v>civic_education</v>
      </c>
      <c r="V683" s="20" t="str">
        <f t="shared" si="66"/>
        <v>Lapeerprimaryschool</v>
      </c>
    </row>
    <row r="684" spans="11:22">
      <c r="K684" s="20" t="s">
        <v>390</v>
      </c>
      <c r="L684" s="20" t="s">
        <v>457</v>
      </c>
      <c r="M684" s="20" t="s">
        <v>32</v>
      </c>
      <c r="N684" s="20">
        <f t="shared" ref="N684:S684" ca="1" si="73">SUMIF($W$3:$W$674,"="&amp;$K684&amp;$L684,N$3:N$674)</f>
        <v>0</v>
      </c>
      <c r="O684" s="20">
        <f t="shared" ca="1" si="73"/>
        <v>0</v>
      </c>
      <c r="P684" s="20">
        <f t="shared" ca="1" si="73"/>
        <v>0</v>
      </c>
      <c r="Q684" s="20">
        <f t="shared" ca="1" si="73"/>
        <v>0</v>
      </c>
      <c r="R684" s="20">
        <f t="shared" ca="1" si="73"/>
        <v>0</v>
      </c>
      <c r="S684" s="20">
        <f t="shared" ca="1" si="73"/>
        <v>0</v>
      </c>
      <c r="U684" s="20" t="str">
        <f t="shared" si="65"/>
        <v>unknown</v>
      </c>
      <c r="V684" s="20" t="str">
        <f t="shared" si="66"/>
        <v>Lapeerquickservicerestaurant</v>
      </c>
    </row>
    <row r="685" spans="11:22">
      <c r="K685" s="20" t="s">
        <v>390</v>
      </c>
      <c r="L685" s="20" t="s">
        <v>430</v>
      </c>
      <c r="M685" s="20" t="s">
        <v>32</v>
      </c>
      <c r="N685" s="20">
        <f t="shared" ref="N685:S685" ca="1" si="74">SUMIF($W$3:$W$674,"="&amp;$K685&amp;$L685,N$3:N$674)</f>
        <v>0</v>
      </c>
      <c r="O685" s="20">
        <f t="shared" ca="1" si="74"/>
        <v>0</v>
      </c>
      <c r="P685" s="20">
        <f t="shared" ca="1" si="74"/>
        <v>0</v>
      </c>
      <c r="Q685" s="20">
        <f t="shared" ca="1" si="74"/>
        <v>0</v>
      </c>
      <c r="R685" s="20">
        <f t="shared" ca="1" si="74"/>
        <v>0</v>
      </c>
      <c r="S685" s="20">
        <f t="shared" ca="1" si="74"/>
        <v>0</v>
      </c>
      <c r="U685" s="20" t="str">
        <f t="shared" si="65"/>
        <v>commercial_retail</v>
      </c>
      <c r="V685" s="20" t="str">
        <f t="shared" si="66"/>
        <v>Lapeerretailstandalone</v>
      </c>
    </row>
    <row r="686" spans="11:22">
      <c r="K686" s="20" t="s">
        <v>390</v>
      </c>
      <c r="L686" s="20" t="s">
        <v>462</v>
      </c>
      <c r="M686" s="20" t="s">
        <v>32</v>
      </c>
      <c r="N686" s="20">
        <f t="shared" ref="N686:S686" ca="1" si="75">SUMIF($W$3:$W$674,"="&amp;$K686&amp;$L686,N$3:N$674)</f>
        <v>0</v>
      </c>
      <c r="O686" s="20">
        <f t="shared" ca="1" si="75"/>
        <v>0</v>
      </c>
      <c r="P686" s="20">
        <f t="shared" ca="1" si="75"/>
        <v>0</v>
      </c>
      <c r="Q686" s="20">
        <f t="shared" ca="1" si="75"/>
        <v>0</v>
      </c>
      <c r="R686" s="20">
        <f t="shared" ca="1" si="75"/>
        <v>0</v>
      </c>
      <c r="S686" s="20">
        <f t="shared" ca="1" si="75"/>
        <v>0</v>
      </c>
      <c r="U686" s="20" t="str">
        <f t="shared" si="65"/>
        <v/>
      </c>
      <c r="V686" s="20" t="str">
        <f t="shared" si="66"/>
        <v>Lapeerretailstripmall</v>
      </c>
    </row>
    <row r="687" spans="11:22">
      <c r="K687" s="20" t="s">
        <v>390</v>
      </c>
      <c r="L687" s="20" t="s">
        <v>463</v>
      </c>
      <c r="M687" s="20" t="s">
        <v>32</v>
      </c>
      <c r="N687" s="20">
        <f t="shared" ref="N687:S687" ca="1" si="76">SUMIF($W$3:$W$674,"="&amp;$K687&amp;$L687,N$3:N$674)</f>
        <v>0</v>
      </c>
      <c r="O687" s="20">
        <f t="shared" ca="1" si="76"/>
        <v>0</v>
      </c>
      <c r="P687" s="20">
        <f t="shared" ca="1" si="76"/>
        <v>0</v>
      </c>
      <c r="Q687" s="20">
        <f t="shared" ca="1" si="76"/>
        <v>0</v>
      </c>
      <c r="R687" s="20">
        <f t="shared" ca="1" si="76"/>
        <v>0</v>
      </c>
      <c r="S687" s="20">
        <f t="shared" ca="1" si="76"/>
        <v>0</v>
      </c>
      <c r="U687" s="20" t="str">
        <f t="shared" si="65"/>
        <v/>
      </c>
      <c r="V687" s="20" t="str">
        <f t="shared" si="66"/>
        <v>Lapeersecondaryschool</v>
      </c>
    </row>
    <row r="688" spans="11:22">
      <c r="K688" s="20" t="s">
        <v>390</v>
      </c>
      <c r="L688" s="20" t="s">
        <v>438</v>
      </c>
      <c r="M688" s="20" t="s">
        <v>32</v>
      </c>
      <c r="N688" s="20">
        <f t="shared" ref="N688:S688" ca="1" si="77">SUMIF($W$3:$W$674,"="&amp;$K688&amp;$L688,N$3:N$674)</f>
        <v>0</v>
      </c>
      <c r="O688" s="20">
        <f t="shared" ca="1" si="77"/>
        <v>0</v>
      </c>
      <c r="P688" s="20">
        <f t="shared" ca="1" si="77"/>
        <v>0</v>
      </c>
      <c r="Q688" s="20">
        <f t="shared" ca="1" si="77"/>
        <v>0</v>
      </c>
      <c r="R688" s="20">
        <f t="shared" ca="1" si="77"/>
        <v>0</v>
      </c>
      <c r="S688" s="20">
        <f t="shared" ca="1" si="77"/>
        <v>0</v>
      </c>
      <c r="U688" s="20" t="str">
        <f t="shared" si="65"/>
        <v>commercial_non_retail_attraction</v>
      </c>
      <c r="V688" s="20" t="str">
        <f t="shared" si="66"/>
        <v>Lapeersmallhotel</v>
      </c>
    </row>
    <row r="689" spans="11:22">
      <c r="K689" s="20" t="s">
        <v>390</v>
      </c>
      <c r="L689" s="20" t="s">
        <v>464</v>
      </c>
      <c r="M689" s="20" t="s">
        <v>32</v>
      </c>
      <c r="N689" s="20">
        <f t="shared" ref="N689:S689" ca="1" si="78">SUMIF($W$3:$W$674,"="&amp;$K689&amp;$L689,N$3:N$674)</f>
        <v>0</v>
      </c>
      <c r="O689" s="20">
        <f t="shared" ca="1" si="78"/>
        <v>0</v>
      </c>
      <c r="P689" s="20">
        <f t="shared" ca="1" si="78"/>
        <v>0</v>
      </c>
      <c r="Q689" s="20">
        <f t="shared" ca="1" si="78"/>
        <v>0</v>
      </c>
      <c r="R689" s="20">
        <f t="shared" ca="1" si="78"/>
        <v>0</v>
      </c>
      <c r="S689" s="20">
        <f t="shared" ca="1" si="78"/>
        <v>0</v>
      </c>
      <c r="U689" s="20" t="str">
        <f t="shared" si="65"/>
        <v/>
      </c>
      <c r="V689" s="20" t="str">
        <f t="shared" si="66"/>
        <v>Lapeersmalloffice</v>
      </c>
    </row>
    <row r="690" spans="11:22">
      <c r="K690" s="20" t="s">
        <v>390</v>
      </c>
      <c r="L690" s="20" t="s">
        <v>452</v>
      </c>
      <c r="M690" s="20" t="s">
        <v>32</v>
      </c>
      <c r="N690" s="20">
        <f t="shared" ref="N690:S690" ca="1" si="79">SUMIF($W$3:$W$674,"="&amp;$K690&amp;$L690,N$3:N$674)</f>
        <v>0</v>
      </c>
      <c r="O690" s="20">
        <f t="shared" ca="1" si="79"/>
        <v>0</v>
      </c>
      <c r="P690" s="20">
        <f t="shared" ca="1" si="79"/>
        <v>0</v>
      </c>
      <c r="Q690" s="20">
        <f t="shared" ca="1" si="79"/>
        <v>0</v>
      </c>
      <c r="R690" s="20">
        <f t="shared" ca="1" si="79"/>
        <v>0</v>
      </c>
      <c r="S690" s="20">
        <f t="shared" ca="1" si="79"/>
        <v>0</v>
      </c>
      <c r="U690" s="20" t="str">
        <f t="shared" si="65"/>
        <v>transportation_utilities</v>
      </c>
      <c r="V690" s="20" t="str">
        <f t="shared" si="66"/>
        <v>Lapeerwarehouse</v>
      </c>
    </row>
    <row r="691" spans="11:22">
      <c r="K691" s="20" t="s">
        <v>392</v>
      </c>
      <c r="L691" s="20" t="s">
        <v>428</v>
      </c>
      <c r="M691" s="20" t="s">
        <v>32</v>
      </c>
      <c r="N691" s="20">
        <f t="shared" ref="N691:S691" ca="1" si="80">SUMIF($W$3:$W$674,"="&amp;$K691&amp;$L691,N$3:N$674)</f>
        <v>0</v>
      </c>
      <c r="O691" s="20">
        <f t="shared" ca="1" si="80"/>
        <v>0</v>
      </c>
      <c r="P691" s="20">
        <f t="shared" ca="1" si="80"/>
        <v>0</v>
      </c>
      <c r="Q691" s="20">
        <f t="shared" ca="1" si="80"/>
        <v>0</v>
      </c>
      <c r="R691" s="20">
        <f t="shared" ca="1" si="80"/>
        <v>0</v>
      </c>
      <c r="S691" s="20">
        <f t="shared" ca="1" si="80"/>
        <v>0</v>
      </c>
      <c r="U691" s="20" t="str">
        <f t="shared" si="65"/>
        <v>other</v>
      </c>
      <c r="V691" s="20" t="str">
        <f t="shared" si="66"/>
        <v>Livingstonfullservicerestaurant</v>
      </c>
    </row>
    <row r="692" spans="11:22">
      <c r="K692" s="20" t="s">
        <v>392</v>
      </c>
      <c r="L692" s="20" t="s">
        <v>449</v>
      </c>
      <c r="M692" s="20" t="s">
        <v>32</v>
      </c>
      <c r="N692" s="20">
        <f t="shared" ref="N692:S692" ca="1" si="81">SUMIF($W$3:$W$674,"="&amp;$K692&amp;$L692,N$3:N$674)</f>
        <v>0</v>
      </c>
      <c r="O692" s="20">
        <f t="shared" ca="1" si="81"/>
        <v>0</v>
      </c>
      <c r="P692" s="20">
        <f t="shared" ca="1" si="81"/>
        <v>0</v>
      </c>
      <c r="Q692" s="20">
        <f t="shared" ca="1" si="81"/>
        <v>0</v>
      </c>
      <c r="R692" s="20">
        <f t="shared" ca="1" si="81"/>
        <v>0</v>
      </c>
      <c r="S692" s="20">
        <f t="shared" ca="1" si="81"/>
        <v>0</v>
      </c>
      <c r="U692" s="20" t="str">
        <f t="shared" si="65"/>
        <v/>
      </c>
      <c r="V692" s="20" t="str">
        <f t="shared" si="66"/>
        <v>Livingstonhospital</v>
      </c>
    </row>
    <row r="693" spans="11:22">
      <c r="K693" s="20" t="s">
        <v>392</v>
      </c>
      <c r="L693" s="20" t="s">
        <v>458</v>
      </c>
      <c r="M693" s="20" t="s">
        <v>32</v>
      </c>
      <c r="N693" s="20">
        <f t="shared" ref="N693:S693" ca="1" si="82">SUMIF($W$3:$W$674,"="&amp;$K693&amp;$L693,N$3:N$674)</f>
        <v>0</v>
      </c>
      <c r="O693" s="20">
        <f t="shared" ca="1" si="82"/>
        <v>0</v>
      </c>
      <c r="P693" s="20">
        <f t="shared" ca="1" si="82"/>
        <v>0</v>
      </c>
      <c r="Q693" s="20">
        <f t="shared" ca="1" si="82"/>
        <v>0</v>
      </c>
      <c r="R693" s="20">
        <f t="shared" ca="1" si="82"/>
        <v>0</v>
      </c>
      <c r="S693" s="20">
        <f t="shared" ca="1" si="82"/>
        <v>0</v>
      </c>
      <c r="U693" s="20" t="str">
        <f t="shared" si="65"/>
        <v/>
      </c>
      <c r="V693" s="20" t="str">
        <f t="shared" si="66"/>
        <v>Livingstonlargehotel</v>
      </c>
    </row>
    <row r="694" spans="11:22">
      <c r="K694" s="20" t="s">
        <v>392</v>
      </c>
      <c r="L694" s="20" t="s">
        <v>460</v>
      </c>
      <c r="M694" s="20" t="s">
        <v>32</v>
      </c>
      <c r="N694" s="20">
        <f t="shared" ref="N694:S694" ca="1" si="83">SUMIF($W$3:$W$674,"="&amp;$K694&amp;$L694,N$3:N$674)</f>
        <v>0</v>
      </c>
      <c r="O694" s="20">
        <f t="shared" ca="1" si="83"/>
        <v>0</v>
      </c>
      <c r="P694" s="20">
        <f t="shared" ca="1" si="83"/>
        <v>0</v>
      </c>
      <c r="Q694" s="20">
        <f t="shared" ca="1" si="83"/>
        <v>0</v>
      </c>
      <c r="R694" s="20">
        <f t="shared" ca="1" si="83"/>
        <v>0</v>
      </c>
      <c r="S694" s="20">
        <f t="shared" ca="1" si="83"/>
        <v>0</v>
      </c>
      <c r="U694" s="20" t="str">
        <f t="shared" si="65"/>
        <v/>
      </c>
      <c r="V694" s="20" t="str">
        <f t="shared" si="66"/>
        <v>Livingstonlargeoffice</v>
      </c>
    </row>
    <row r="695" spans="11:22">
      <c r="K695" s="20" t="s">
        <v>392</v>
      </c>
      <c r="L695" s="20" t="s">
        <v>434</v>
      </c>
      <c r="M695" s="20" t="s">
        <v>32</v>
      </c>
      <c r="N695" s="20">
        <f t="shared" ref="N695:S695" ca="1" si="84">SUMIF($W$3:$W$674,"="&amp;$K695&amp;$L695,N$3:N$674)</f>
        <v>0</v>
      </c>
      <c r="O695" s="20">
        <f t="shared" ca="1" si="84"/>
        <v>0</v>
      </c>
      <c r="P695" s="20">
        <f t="shared" ca="1" si="84"/>
        <v>0</v>
      </c>
      <c r="Q695" s="20">
        <f t="shared" ca="1" si="84"/>
        <v>0</v>
      </c>
      <c r="R695" s="20">
        <f t="shared" ca="1" si="84"/>
        <v>0</v>
      </c>
      <c r="S695" s="20">
        <f t="shared" ca="1" si="84"/>
        <v>0</v>
      </c>
      <c r="U695" s="20" t="str">
        <f t="shared" si="65"/>
        <v>commercial_office</v>
      </c>
      <c r="V695" s="20" t="str">
        <f t="shared" si="66"/>
        <v>Livingstonmediumoffice</v>
      </c>
    </row>
    <row r="696" spans="11:22">
      <c r="K696" s="20" t="s">
        <v>392</v>
      </c>
      <c r="L696" s="20" t="s">
        <v>461</v>
      </c>
      <c r="M696" s="20" t="s">
        <v>32</v>
      </c>
      <c r="N696" s="20">
        <f t="shared" ref="N696:S696" ca="1" si="85">SUMIF($W$3:$W$674,"="&amp;$K696&amp;$L696,N$3:N$674)</f>
        <v>0</v>
      </c>
      <c r="O696" s="20">
        <f t="shared" ca="1" si="85"/>
        <v>0</v>
      </c>
      <c r="P696" s="20">
        <f t="shared" ca="1" si="85"/>
        <v>0</v>
      </c>
      <c r="Q696" s="20">
        <f t="shared" ca="1" si="85"/>
        <v>0</v>
      </c>
      <c r="R696" s="20">
        <f t="shared" ca="1" si="85"/>
        <v>0</v>
      </c>
      <c r="S696" s="20">
        <f t="shared" ca="1" si="85"/>
        <v>0</v>
      </c>
      <c r="U696" s="20" t="str">
        <f t="shared" si="65"/>
        <v/>
      </c>
      <c r="V696" s="20" t="str">
        <f t="shared" si="66"/>
        <v>Livingstonoutpatient</v>
      </c>
    </row>
    <row r="697" spans="11:22">
      <c r="K697" s="20" t="s">
        <v>392</v>
      </c>
      <c r="L697" s="20" t="s">
        <v>446</v>
      </c>
      <c r="M697" s="20" t="s">
        <v>32</v>
      </c>
      <c r="N697" s="20">
        <f t="shared" ref="N697:S697" ca="1" si="86">SUMIF($W$3:$W$674,"="&amp;$K697&amp;$L697,N$3:N$674)</f>
        <v>0</v>
      </c>
      <c r="O697" s="20">
        <f t="shared" ca="1" si="86"/>
        <v>0</v>
      </c>
      <c r="P697" s="20">
        <f t="shared" ca="1" si="86"/>
        <v>0</v>
      </c>
      <c r="Q697" s="20">
        <f t="shared" ca="1" si="86"/>
        <v>0</v>
      </c>
      <c r="R697" s="20">
        <f t="shared" ca="1" si="86"/>
        <v>0</v>
      </c>
      <c r="S697" s="20">
        <f t="shared" ca="1" si="86"/>
        <v>0</v>
      </c>
      <c r="U697" s="20" t="str">
        <f t="shared" si="65"/>
        <v>civic_education</v>
      </c>
      <c r="V697" s="20" t="str">
        <f t="shared" si="66"/>
        <v>Livingstonprimaryschool</v>
      </c>
    </row>
    <row r="698" spans="11:22">
      <c r="K698" s="20" t="s">
        <v>392</v>
      </c>
      <c r="L698" s="20" t="s">
        <v>457</v>
      </c>
      <c r="M698" s="20" t="s">
        <v>32</v>
      </c>
      <c r="N698" s="20">
        <f t="shared" ref="N698:S698" ca="1" si="87">SUMIF($W$3:$W$674,"="&amp;$K698&amp;$L698,N$3:N$674)</f>
        <v>0</v>
      </c>
      <c r="O698" s="20">
        <f t="shared" ca="1" si="87"/>
        <v>0</v>
      </c>
      <c r="P698" s="20">
        <f t="shared" ca="1" si="87"/>
        <v>0</v>
      </c>
      <c r="Q698" s="20">
        <f t="shared" ca="1" si="87"/>
        <v>0</v>
      </c>
      <c r="R698" s="20">
        <f t="shared" ca="1" si="87"/>
        <v>0</v>
      </c>
      <c r="S698" s="20">
        <f t="shared" ca="1" si="87"/>
        <v>0</v>
      </c>
      <c r="U698" s="20" t="str">
        <f t="shared" si="65"/>
        <v>unknown</v>
      </c>
      <c r="V698" s="20" t="str">
        <f t="shared" si="66"/>
        <v>Livingstonquickservicerestaurant</v>
      </c>
    </row>
    <row r="699" spans="11:22">
      <c r="K699" s="20" t="s">
        <v>392</v>
      </c>
      <c r="L699" s="20" t="s">
        <v>430</v>
      </c>
      <c r="M699" s="20" t="s">
        <v>32</v>
      </c>
      <c r="N699" s="20">
        <f t="shared" ref="N699:S699" ca="1" si="88">SUMIF($W$3:$W$674,"="&amp;$K699&amp;$L699,N$3:N$674)</f>
        <v>0</v>
      </c>
      <c r="O699" s="20">
        <f t="shared" ca="1" si="88"/>
        <v>0</v>
      </c>
      <c r="P699" s="20">
        <f t="shared" ca="1" si="88"/>
        <v>0</v>
      </c>
      <c r="Q699" s="20">
        <f t="shared" ca="1" si="88"/>
        <v>0</v>
      </c>
      <c r="R699" s="20">
        <f t="shared" ca="1" si="88"/>
        <v>0</v>
      </c>
      <c r="S699" s="20">
        <f t="shared" ca="1" si="88"/>
        <v>0</v>
      </c>
      <c r="U699" s="20" t="str">
        <f t="shared" si="65"/>
        <v>commercial_retail</v>
      </c>
      <c r="V699" s="20" t="str">
        <f t="shared" si="66"/>
        <v>Livingstonretailstandalone</v>
      </c>
    </row>
    <row r="700" spans="11:22">
      <c r="K700" s="20" t="s">
        <v>392</v>
      </c>
      <c r="L700" s="20" t="s">
        <v>462</v>
      </c>
      <c r="M700" s="20" t="s">
        <v>32</v>
      </c>
      <c r="N700" s="20">
        <f t="shared" ref="N700:S700" ca="1" si="89">SUMIF($W$3:$W$674,"="&amp;$K700&amp;$L700,N$3:N$674)</f>
        <v>0</v>
      </c>
      <c r="O700" s="20">
        <f t="shared" ca="1" si="89"/>
        <v>0</v>
      </c>
      <c r="P700" s="20">
        <f t="shared" ca="1" si="89"/>
        <v>0</v>
      </c>
      <c r="Q700" s="20">
        <f t="shared" ca="1" si="89"/>
        <v>0</v>
      </c>
      <c r="R700" s="20">
        <f t="shared" ca="1" si="89"/>
        <v>0</v>
      </c>
      <c r="S700" s="20">
        <f t="shared" ca="1" si="89"/>
        <v>0</v>
      </c>
      <c r="U700" s="20" t="str">
        <f t="shared" si="65"/>
        <v/>
      </c>
      <c r="V700" s="20" t="str">
        <f t="shared" si="66"/>
        <v>Livingstonretailstripmall</v>
      </c>
    </row>
    <row r="701" spans="11:22">
      <c r="K701" s="20" t="s">
        <v>392</v>
      </c>
      <c r="L701" s="20" t="s">
        <v>463</v>
      </c>
      <c r="M701" s="20" t="s">
        <v>32</v>
      </c>
      <c r="N701" s="20">
        <f t="shared" ref="N701:S701" ca="1" si="90">SUMIF($W$3:$W$674,"="&amp;$K701&amp;$L701,N$3:N$674)</f>
        <v>0</v>
      </c>
      <c r="O701" s="20">
        <f t="shared" ca="1" si="90"/>
        <v>0</v>
      </c>
      <c r="P701" s="20">
        <f t="shared" ca="1" si="90"/>
        <v>0</v>
      </c>
      <c r="Q701" s="20">
        <f t="shared" ca="1" si="90"/>
        <v>0</v>
      </c>
      <c r="R701" s="20">
        <f t="shared" ca="1" si="90"/>
        <v>0</v>
      </c>
      <c r="S701" s="20">
        <f t="shared" ca="1" si="90"/>
        <v>0</v>
      </c>
      <c r="U701" s="20" t="str">
        <f t="shared" si="65"/>
        <v/>
      </c>
      <c r="V701" s="20" t="str">
        <f t="shared" si="66"/>
        <v>Livingstonsecondaryschool</v>
      </c>
    </row>
    <row r="702" spans="11:22">
      <c r="K702" s="20" t="s">
        <v>392</v>
      </c>
      <c r="L702" s="20" t="s">
        <v>438</v>
      </c>
      <c r="M702" s="20" t="s">
        <v>32</v>
      </c>
      <c r="N702" s="20">
        <f t="shared" ref="N702:S702" ca="1" si="91">SUMIF($W$3:$W$674,"="&amp;$K702&amp;$L702,N$3:N$674)</f>
        <v>0</v>
      </c>
      <c r="O702" s="20">
        <f t="shared" ca="1" si="91"/>
        <v>0</v>
      </c>
      <c r="P702" s="20">
        <f t="shared" ca="1" si="91"/>
        <v>0</v>
      </c>
      <c r="Q702" s="20">
        <f t="shared" ca="1" si="91"/>
        <v>0</v>
      </c>
      <c r="R702" s="20">
        <f t="shared" ca="1" si="91"/>
        <v>0</v>
      </c>
      <c r="S702" s="20">
        <f t="shared" ca="1" si="91"/>
        <v>0</v>
      </c>
      <c r="U702" s="20" t="str">
        <f t="shared" si="65"/>
        <v>commercial_non_retail_attraction</v>
      </c>
      <c r="V702" s="20" t="str">
        <f t="shared" si="66"/>
        <v>Livingstonsmallhotel</v>
      </c>
    </row>
    <row r="703" spans="11:22">
      <c r="K703" s="20" t="s">
        <v>392</v>
      </c>
      <c r="L703" s="20" t="s">
        <v>464</v>
      </c>
      <c r="M703" s="20" t="s">
        <v>32</v>
      </c>
      <c r="N703" s="20">
        <f t="shared" ref="N703:S703" ca="1" si="92">SUMIF($W$3:$W$674,"="&amp;$K703&amp;$L703,N$3:N$674)</f>
        <v>0</v>
      </c>
      <c r="O703" s="20">
        <f t="shared" ca="1" si="92"/>
        <v>0</v>
      </c>
      <c r="P703" s="20">
        <f t="shared" ca="1" si="92"/>
        <v>0</v>
      </c>
      <c r="Q703" s="20">
        <f t="shared" ca="1" si="92"/>
        <v>0</v>
      </c>
      <c r="R703" s="20">
        <f t="shared" ca="1" si="92"/>
        <v>0</v>
      </c>
      <c r="S703" s="20">
        <f t="shared" ca="1" si="92"/>
        <v>0</v>
      </c>
      <c r="U703" s="20" t="str">
        <f t="shared" si="65"/>
        <v/>
      </c>
      <c r="V703" s="20" t="str">
        <f t="shared" si="66"/>
        <v>Livingstonsmalloffice</v>
      </c>
    </row>
    <row r="704" spans="11:22">
      <c r="K704" s="20" t="s">
        <v>392</v>
      </c>
      <c r="L704" s="20" t="s">
        <v>452</v>
      </c>
      <c r="M704" s="20" t="s">
        <v>32</v>
      </c>
      <c r="N704" s="20">
        <f t="shared" ref="N704:S704" ca="1" si="93">SUMIF($W$3:$W$674,"="&amp;$K704&amp;$L704,N$3:N$674)</f>
        <v>0</v>
      </c>
      <c r="O704" s="20">
        <f t="shared" ca="1" si="93"/>
        <v>0</v>
      </c>
      <c r="P704" s="20">
        <f t="shared" ca="1" si="93"/>
        <v>0</v>
      </c>
      <c r="Q704" s="20">
        <f t="shared" ca="1" si="93"/>
        <v>0</v>
      </c>
      <c r="R704" s="20">
        <f t="shared" ca="1" si="93"/>
        <v>0</v>
      </c>
      <c r="S704" s="20">
        <f t="shared" ca="1" si="93"/>
        <v>0</v>
      </c>
      <c r="U704" s="20" t="str">
        <f t="shared" si="65"/>
        <v>transportation_utilities</v>
      </c>
      <c r="V704" s="20" t="str">
        <f t="shared" si="66"/>
        <v>Livingstonwarehouse</v>
      </c>
    </row>
    <row r="705" spans="11:22">
      <c r="K705" s="20" t="s">
        <v>393</v>
      </c>
      <c r="L705" s="20" t="s">
        <v>428</v>
      </c>
      <c r="M705" s="20" t="s">
        <v>32</v>
      </c>
      <c r="N705" s="20">
        <f t="shared" ref="N705:S705" ca="1" si="94">SUMIF($W$3:$W$674,"="&amp;$K705&amp;$L705,N$3:N$674)</f>
        <v>0</v>
      </c>
      <c r="O705" s="20">
        <f t="shared" ca="1" si="94"/>
        <v>0</v>
      </c>
      <c r="P705" s="20">
        <f t="shared" ca="1" si="94"/>
        <v>0</v>
      </c>
      <c r="Q705" s="20">
        <f t="shared" ca="1" si="94"/>
        <v>0</v>
      </c>
      <c r="R705" s="20">
        <f t="shared" ca="1" si="94"/>
        <v>0</v>
      </c>
      <c r="S705" s="20">
        <f t="shared" ca="1" si="94"/>
        <v>0</v>
      </c>
      <c r="U705" s="20" t="str">
        <f t="shared" si="65"/>
        <v>other</v>
      </c>
      <c r="V705" s="20" t="str">
        <f t="shared" si="66"/>
        <v>Macombfullservicerestaurant</v>
      </c>
    </row>
    <row r="706" spans="11:22">
      <c r="K706" s="20" t="s">
        <v>393</v>
      </c>
      <c r="L706" s="20" t="s">
        <v>449</v>
      </c>
      <c r="M706" s="20" t="s">
        <v>32</v>
      </c>
      <c r="N706" s="20">
        <f t="shared" ref="N706:S706" ca="1" si="95">SUMIF($W$3:$W$674,"="&amp;$K706&amp;$L706,N$3:N$674)</f>
        <v>0</v>
      </c>
      <c r="O706" s="20">
        <f t="shared" ca="1" si="95"/>
        <v>0</v>
      </c>
      <c r="P706" s="20">
        <f t="shared" ca="1" si="95"/>
        <v>0</v>
      </c>
      <c r="Q706" s="20">
        <f t="shared" ca="1" si="95"/>
        <v>0</v>
      </c>
      <c r="R706" s="20">
        <f t="shared" ca="1" si="95"/>
        <v>0</v>
      </c>
      <c r="S706" s="20">
        <f t="shared" ca="1" si="95"/>
        <v>0</v>
      </c>
      <c r="U706" s="20" t="str">
        <f t="shared" si="65"/>
        <v/>
      </c>
      <c r="V706" s="20" t="str">
        <f t="shared" si="66"/>
        <v>Macombhospital</v>
      </c>
    </row>
    <row r="707" spans="11:22">
      <c r="K707" s="20" t="s">
        <v>393</v>
      </c>
      <c r="L707" s="20" t="s">
        <v>458</v>
      </c>
      <c r="M707" s="20" t="s">
        <v>32</v>
      </c>
      <c r="N707" s="20">
        <f t="shared" ref="N707:S707" ca="1" si="96">SUMIF($W$3:$W$674,"="&amp;$K707&amp;$L707,N$3:N$674)</f>
        <v>0</v>
      </c>
      <c r="O707" s="20">
        <f t="shared" ca="1" si="96"/>
        <v>0</v>
      </c>
      <c r="P707" s="20">
        <f t="shared" ca="1" si="96"/>
        <v>0</v>
      </c>
      <c r="Q707" s="20">
        <f t="shared" ca="1" si="96"/>
        <v>0</v>
      </c>
      <c r="R707" s="20">
        <f t="shared" ca="1" si="96"/>
        <v>0</v>
      </c>
      <c r="S707" s="20">
        <f t="shared" ca="1" si="96"/>
        <v>0</v>
      </c>
      <c r="U707" s="20" t="str">
        <f t="shared" si="65"/>
        <v/>
      </c>
      <c r="V707" s="20" t="str">
        <f t="shared" si="66"/>
        <v>Macomblargehotel</v>
      </c>
    </row>
    <row r="708" spans="11:22">
      <c r="K708" s="20" t="s">
        <v>393</v>
      </c>
      <c r="L708" s="20" t="s">
        <v>460</v>
      </c>
      <c r="M708" s="20" t="s">
        <v>32</v>
      </c>
      <c r="N708" s="20">
        <f t="shared" ref="N708:S708" ca="1" si="97">SUMIF($W$3:$W$674,"="&amp;$K708&amp;$L708,N$3:N$674)</f>
        <v>0</v>
      </c>
      <c r="O708" s="20">
        <f t="shared" ca="1" si="97"/>
        <v>0</v>
      </c>
      <c r="P708" s="20">
        <f t="shared" ca="1" si="97"/>
        <v>0</v>
      </c>
      <c r="Q708" s="20">
        <f t="shared" ca="1" si="97"/>
        <v>0</v>
      </c>
      <c r="R708" s="20">
        <f t="shared" ca="1" si="97"/>
        <v>0</v>
      </c>
      <c r="S708" s="20">
        <f t="shared" ca="1" si="97"/>
        <v>0</v>
      </c>
      <c r="U708" s="20" t="str">
        <f t="shared" si="65"/>
        <v/>
      </c>
      <c r="V708" s="20" t="str">
        <f t="shared" si="66"/>
        <v>Macomblargeoffice</v>
      </c>
    </row>
    <row r="709" spans="11:22">
      <c r="K709" s="20" t="s">
        <v>393</v>
      </c>
      <c r="L709" s="20" t="s">
        <v>434</v>
      </c>
      <c r="M709" s="20" t="s">
        <v>32</v>
      </c>
      <c r="N709" s="20">
        <f t="shared" ref="N709:S709" ca="1" si="98">SUMIF($W$3:$W$674,"="&amp;$K709&amp;$L709,N$3:N$674)</f>
        <v>0</v>
      </c>
      <c r="O709" s="20">
        <f t="shared" ca="1" si="98"/>
        <v>0</v>
      </c>
      <c r="P709" s="20">
        <f t="shared" ca="1" si="98"/>
        <v>0</v>
      </c>
      <c r="Q709" s="20">
        <f t="shared" ca="1" si="98"/>
        <v>0</v>
      </c>
      <c r="R709" s="20">
        <f t="shared" ca="1" si="98"/>
        <v>0</v>
      </c>
      <c r="S709" s="20">
        <f t="shared" ca="1" si="98"/>
        <v>0</v>
      </c>
      <c r="U709" s="20" t="str">
        <f t="shared" si="65"/>
        <v>commercial_office</v>
      </c>
      <c r="V709" s="20" t="str">
        <f t="shared" si="66"/>
        <v>Macombmediumoffice</v>
      </c>
    </row>
    <row r="710" spans="11:22">
      <c r="K710" s="20" t="s">
        <v>393</v>
      </c>
      <c r="L710" s="20" t="s">
        <v>461</v>
      </c>
      <c r="M710" s="20" t="s">
        <v>32</v>
      </c>
      <c r="N710" s="20">
        <f t="shared" ref="N710:S710" ca="1" si="99">SUMIF($W$3:$W$674,"="&amp;$K710&amp;$L710,N$3:N$674)</f>
        <v>0</v>
      </c>
      <c r="O710" s="20">
        <f t="shared" ca="1" si="99"/>
        <v>0</v>
      </c>
      <c r="P710" s="20">
        <f t="shared" ca="1" si="99"/>
        <v>0</v>
      </c>
      <c r="Q710" s="20">
        <f t="shared" ca="1" si="99"/>
        <v>0</v>
      </c>
      <c r="R710" s="20">
        <f t="shared" ca="1" si="99"/>
        <v>0</v>
      </c>
      <c r="S710" s="20">
        <f t="shared" ca="1" si="99"/>
        <v>0</v>
      </c>
      <c r="U710" s="20" t="str">
        <f t="shared" si="65"/>
        <v/>
      </c>
      <c r="V710" s="20" t="str">
        <f t="shared" si="66"/>
        <v>Macomboutpatient</v>
      </c>
    </row>
    <row r="711" spans="11:22">
      <c r="K711" s="20" t="s">
        <v>393</v>
      </c>
      <c r="L711" s="20" t="s">
        <v>446</v>
      </c>
      <c r="M711" s="20" t="s">
        <v>32</v>
      </c>
      <c r="N711" s="20">
        <f t="shared" ref="N711:S711" ca="1" si="100">SUMIF($W$3:$W$674,"="&amp;$K711&amp;$L711,N$3:N$674)</f>
        <v>0</v>
      </c>
      <c r="O711" s="20">
        <f t="shared" ca="1" si="100"/>
        <v>0</v>
      </c>
      <c r="P711" s="20">
        <f t="shared" ca="1" si="100"/>
        <v>0</v>
      </c>
      <c r="Q711" s="20">
        <f t="shared" ca="1" si="100"/>
        <v>0</v>
      </c>
      <c r="R711" s="20">
        <f t="shared" ca="1" si="100"/>
        <v>0</v>
      </c>
      <c r="S711" s="20">
        <f t="shared" ca="1" si="100"/>
        <v>0</v>
      </c>
      <c r="U711" s="20" t="str">
        <f t="shared" si="65"/>
        <v>civic_education</v>
      </c>
      <c r="V711" s="20" t="str">
        <f t="shared" si="66"/>
        <v>Macombprimaryschool</v>
      </c>
    </row>
    <row r="712" spans="11:22">
      <c r="K712" s="20" t="s">
        <v>393</v>
      </c>
      <c r="L712" s="20" t="s">
        <v>457</v>
      </c>
      <c r="M712" s="20" t="s">
        <v>32</v>
      </c>
      <c r="N712" s="20">
        <f t="shared" ref="N712:S712" ca="1" si="101">SUMIF($W$3:$W$674,"="&amp;$K712&amp;$L712,N$3:N$674)</f>
        <v>0</v>
      </c>
      <c r="O712" s="20">
        <f t="shared" ca="1" si="101"/>
        <v>0</v>
      </c>
      <c r="P712" s="20">
        <f t="shared" ca="1" si="101"/>
        <v>0</v>
      </c>
      <c r="Q712" s="20">
        <f t="shared" ca="1" si="101"/>
        <v>0</v>
      </c>
      <c r="R712" s="20">
        <f t="shared" ca="1" si="101"/>
        <v>0</v>
      </c>
      <c r="S712" s="20">
        <f t="shared" ca="1" si="101"/>
        <v>0</v>
      </c>
      <c r="U712" s="20" t="str">
        <f t="shared" si="65"/>
        <v>unknown</v>
      </c>
      <c r="V712" s="20" t="str">
        <f t="shared" si="66"/>
        <v>Macombquickservicerestaurant</v>
      </c>
    </row>
    <row r="713" spans="11:22">
      <c r="K713" s="20" t="s">
        <v>393</v>
      </c>
      <c r="L713" s="20" t="s">
        <v>430</v>
      </c>
      <c r="M713" s="20" t="s">
        <v>32</v>
      </c>
      <c r="N713" s="20">
        <f t="shared" ref="N713:S713" ca="1" si="102">SUMIF($W$3:$W$674,"="&amp;$K713&amp;$L713,N$3:N$674)</f>
        <v>0</v>
      </c>
      <c r="O713" s="20">
        <f t="shared" ca="1" si="102"/>
        <v>0</v>
      </c>
      <c r="P713" s="20">
        <f t="shared" ca="1" si="102"/>
        <v>0</v>
      </c>
      <c r="Q713" s="20">
        <f t="shared" ca="1" si="102"/>
        <v>0</v>
      </c>
      <c r="R713" s="20">
        <f t="shared" ca="1" si="102"/>
        <v>0</v>
      </c>
      <c r="S713" s="20">
        <f t="shared" ca="1" si="102"/>
        <v>0</v>
      </c>
      <c r="U713" s="20" t="str">
        <f t="shared" si="65"/>
        <v>commercial_retail</v>
      </c>
      <c r="V713" s="20" t="str">
        <f t="shared" si="66"/>
        <v>Macombretailstandalone</v>
      </c>
    </row>
    <row r="714" spans="11:22">
      <c r="K714" s="20" t="s">
        <v>393</v>
      </c>
      <c r="L714" s="20" t="s">
        <v>462</v>
      </c>
      <c r="M714" s="20" t="s">
        <v>32</v>
      </c>
      <c r="N714" s="20">
        <f t="shared" ref="N714:S714" ca="1" si="103">SUMIF($W$3:$W$674,"="&amp;$K714&amp;$L714,N$3:N$674)</f>
        <v>0</v>
      </c>
      <c r="O714" s="20">
        <f t="shared" ca="1" si="103"/>
        <v>0</v>
      </c>
      <c r="P714" s="20">
        <f t="shared" ca="1" si="103"/>
        <v>0</v>
      </c>
      <c r="Q714" s="20">
        <f t="shared" ca="1" si="103"/>
        <v>0</v>
      </c>
      <c r="R714" s="20">
        <f t="shared" ca="1" si="103"/>
        <v>0</v>
      </c>
      <c r="S714" s="20">
        <f t="shared" ca="1" si="103"/>
        <v>0</v>
      </c>
      <c r="U714" s="20" t="str">
        <f t="shared" si="65"/>
        <v/>
      </c>
      <c r="V714" s="20" t="str">
        <f t="shared" si="66"/>
        <v>Macombretailstripmall</v>
      </c>
    </row>
    <row r="715" spans="11:22">
      <c r="K715" s="20" t="s">
        <v>393</v>
      </c>
      <c r="L715" s="20" t="s">
        <v>463</v>
      </c>
      <c r="M715" s="20" t="s">
        <v>32</v>
      </c>
      <c r="N715" s="20">
        <f t="shared" ref="N715:S715" ca="1" si="104">SUMIF($W$3:$W$674,"="&amp;$K715&amp;$L715,N$3:N$674)</f>
        <v>0</v>
      </c>
      <c r="O715" s="20">
        <f t="shared" ca="1" si="104"/>
        <v>0</v>
      </c>
      <c r="P715" s="20">
        <f t="shared" ca="1" si="104"/>
        <v>0</v>
      </c>
      <c r="Q715" s="20">
        <f t="shared" ca="1" si="104"/>
        <v>0</v>
      </c>
      <c r="R715" s="20">
        <f t="shared" ca="1" si="104"/>
        <v>0</v>
      </c>
      <c r="S715" s="20">
        <f t="shared" ca="1" si="104"/>
        <v>0</v>
      </c>
      <c r="U715" s="20" t="str">
        <f t="shared" si="65"/>
        <v/>
      </c>
      <c r="V715" s="20" t="str">
        <f t="shared" si="66"/>
        <v>Macombsecondaryschool</v>
      </c>
    </row>
    <row r="716" spans="11:22">
      <c r="K716" s="20" t="s">
        <v>393</v>
      </c>
      <c r="L716" s="20" t="s">
        <v>438</v>
      </c>
      <c r="M716" s="20" t="s">
        <v>32</v>
      </c>
      <c r="N716" s="20">
        <f t="shared" ref="N716:S716" ca="1" si="105">SUMIF($W$3:$W$674,"="&amp;$K716&amp;$L716,N$3:N$674)</f>
        <v>0</v>
      </c>
      <c r="O716" s="20">
        <f t="shared" ca="1" si="105"/>
        <v>0</v>
      </c>
      <c r="P716" s="20">
        <f t="shared" ca="1" si="105"/>
        <v>0</v>
      </c>
      <c r="Q716" s="20">
        <f t="shared" ca="1" si="105"/>
        <v>0</v>
      </c>
      <c r="R716" s="20">
        <f t="shared" ca="1" si="105"/>
        <v>0</v>
      </c>
      <c r="S716" s="20">
        <f t="shared" ca="1" si="105"/>
        <v>0</v>
      </c>
      <c r="U716" s="20" t="str">
        <f t="shared" si="65"/>
        <v>commercial_non_retail_attraction</v>
      </c>
      <c r="V716" s="20" t="str">
        <f t="shared" si="66"/>
        <v>Macombsmallhotel</v>
      </c>
    </row>
    <row r="717" spans="11:22">
      <c r="K717" s="20" t="s">
        <v>393</v>
      </c>
      <c r="L717" s="20" t="s">
        <v>464</v>
      </c>
      <c r="M717" s="20" t="s">
        <v>32</v>
      </c>
      <c r="N717" s="20">
        <f t="shared" ref="N717:S717" ca="1" si="106">SUMIF($W$3:$W$674,"="&amp;$K717&amp;$L717,N$3:N$674)</f>
        <v>0</v>
      </c>
      <c r="O717" s="20">
        <f t="shared" ca="1" si="106"/>
        <v>0</v>
      </c>
      <c r="P717" s="20">
        <f t="shared" ca="1" si="106"/>
        <v>0</v>
      </c>
      <c r="Q717" s="20">
        <f t="shared" ca="1" si="106"/>
        <v>0</v>
      </c>
      <c r="R717" s="20">
        <f t="shared" ca="1" si="106"/>
        <v>0</v>
      </c>
      <c r="S717" s="20">
        <f t="shared" ca="1" si="106"/>
        <v>0</v>
      </c>
      <c r="U717" s="20" t="str">
        <f t="shared" si="65"/>
        <v/>
      </c>
      <c r="V717" s="20" t="str">
        <f t="shared" si="66"/>
        <v>Macombsmalloffice</v>
      </c>
    </row>
    <row r="718" spans="11:22">
      <c r="K718" s="20" t="s">
        <v>393</v>
      </c>
      <c r="L718" s="20" t="s">
        <v>452</v>
      </c>
      <c r="M718" s="20" t="s">
        <v>32</v>
      </c>
      <c r="N718" s="20">
        <f t="shared" ref="N718:S718" ca="1" si="107">SUMIF($W$3:$W$674,"="&amp;$K718&amp;$L718,N$3:N$674)</f>
        <v>0</v>
      </c>
      <c r="O718" s="20">
        <f t="shared" ca="1" si="107"/>
        <v>0</v>
      </c>
      <c r="P718" s="20">
        <f t="shared" ca="1" si="107"/>
        <v>0</v>
      </c>
      <c r="Q718" s="20">
        <f t="shared" ca="1" si="107"/>
        <v>0</v>
      </c>
      <c r="R718" s="20">
        <f t="shared" ca="1" si="107"/>
        <v>0</v>
      </c>
      <c r="S718" s="20">
        <f t="shared" ca="1" si="107"/>
        <v>0</v>
      </c>
      <c r="U718" s="20" t="str">
        <f t="shared" si="65"/>
        <v>transportation_utilities</v>
      </c>
      <c r="V718" s="20" t="str">
        <f t="shared" si="66"/>
        <v>Macombwarehouse</v>
      </c>
    </row>
    <row r="719" spans="11:22">
      <c r="K719" s="20" t="s">
        <v>394</v>
      </c>
      <c r="L719" s="20" t="s">
        <v>428</v>
      </c>
      <c r="M719" s="20" t="s">
        <v>32</v>
      </c>
      <c r="N719" s="20">
        <f t="shared" ref="N719:S719" ca="1" si="108">SUMIF($W$3:$W$674,"="&amp;$K719&amp;$L719,N$3:N$674)</f>
        <v>0</v>
      </c>
      <c r="O719" s="20">
        <f t="shared" ca="1" si="108"/>
        <v>0</v>
      </c>
      <c r="P719" s="20">
        <f t="shared" ca="1" si="108"/>
        <v>0</v>
      </c>
      <c r="Q719" s="20">
        <f t="shared" ca="1" si="108"/>
        <v>0</v>
      </c>
      <c r="R719" s="20">
        <f t="shared" ca="1" si="108"/>
        <v>0</v>
      </c>
      <c r="S719" s="20">
        <f t="shared" ca="1" si="108"/>
        <v>0</v>
      </c>
      <c r="U719" s="20" t="str">
        <f t="shared" si="65"/>
        <v>other</v>
      </c>
      <c r="V719" s="20" t="str">
        <f t="shared" si="66"/>
        <v>Monroefullservicerestaurant</v>
      </c>
    </row>
    <row r="720" spans="11:22">
      <c r="K720" s="20" t="s">
        <v>394</v>
      </c>
      <c r="L720" s="20" t="s">
        <v>449</v>
      </c>
      <c r="M720" s="20" t="s">
        <v>32</v>
      </c>
      <c r="N720" s="20">
        <f t="shared" ref="N720:S720" ca="1" si="109">SUMIF($W$3:$W$674,"="&amp;$K720&amp;$L720,N$3:N$674)</f>
        <v>0</v>
      </c>
      <c r="O720" s="20">
        <f t="shared" ca="1" si="109"/>
        <v>0</v>
      </c>
      <c r="P720" s="20">
        <f t="shared" ca="1" si="109"/>
        <v>0</v>
      </c>
      <c r="Q720" s="20">
        <f t="shared" ca="1" si="109"/>
        <v>0</v>
      </c>
      <c r="R720" s="20">
        <f t="shared" ca="1" si="109"/>
        <v>0</v>
      </c>
      <c r="S720" s="20">
        <f t="shared" ca="1" si="109"/>
        <v>0</v>
      </c>
      <c r="U720" s="20" t="str">
        <f t="shared" si="65"/>
        <v/>
      </c>
      <c r="V720" s="20" t="str">
        <f t="shared" si="66"/>
        <v>Monroehospital</v>
      </c>
    </row>
    <row r="721" spans="11:22">
      <c r="K721" s="20" t="s">
        <v>394</v>
      </c>
      <c r="L721" s="20" t="s">
        <v>458</v>
      </c>
      <c r="M721" s="20" t="s">
        <v>32</v>
      </c>
      <c r="N721" s="20">
        <f t="shared" ref="N721:S721" ca="1" si="110">SUMIF($W$3:$W$674,"="&amp;$K721&amp;$L721,N$3:N$674)</f>
        <v>0</v>
      </c>
      <c r="O721" s="20">
        <f t="shared" ca="1" si="110"/>
        <v>0</v>
      </c>
      <c r="P721" s="20">
        <f t="shared" ca="1" si="110"/>
        <v>0</v>
      </c>
      <c r="Q721" s="20">
        <f t="shared" ca="1" si="110"/>
        <v>0</v>
      </c>
      <c r="R721" s="20">
        <f t="shared" ca="1" si="110"/>
        <v>0</v>
      </c>
      <c r="S721" s="20">
        <f t="shared" ca="1" si="110"/>
        <v>0</v>
      </c>
      <c r="U721" s="20" t="str">
        <f t="shared" si="65"/>
        <v/>
      </c>
      <c r="V721" s="20" t="str">
        <f t="shared" si="66"/>
        <v>Monroelargehotel</v>
      </c>
    </row>
    <row r="722" spans="11:22">
      <c r="K722" s="20" t="s">
        <v>394</v>
      </c>
      <c r="L722" s="20" t="s">
        <v>460</v>
      </c>
      <c r="M722" s="20" t="s">
        <v>32</v>
      </c>
      <c r="N722" s="20">
        <f t="shared" ref="N722:S722" ca="1" si="111">SUMIF($W$3:$W$674,"="&amp;$K722&amp;$L722,N$3:N$674)</f>
        <v>0</v>
      </c>
      <c r="O722" s="20">
        <f t="shared" ca="1" si="111"/>
        <v>0</v>
      </c>
      <c r="P722" s="20">
        <f t="shared" ca="1" si="111"/>
        <v>0</v>
      </c>
      <c r="Q722" s="20">
        <f t="shared" ca="1" si="111"/>
        <v>0</v>
      </c>
      <c r="R722" s="20">
        <f t="shared" ca="1" si="111"/>
        <v>0</v>
      </c>
      <c r="S722" s="20">
        <f t="shared" ca="1" si="111"/>
        <v>0</v>
      </c>
      <c r="U722" s="20" t="str">
        <f t="shared" si="65"/>
        <v/>
      </c>
      <c r="V722" s="20" t="str">
        <f t="shared" si="66"/>
        <v>Monroelargeoffice</v>
      </c>
    </row>
    <row r="723" spans="11:22">
      <c r="K723" s="20" t="s">
        <v>394</v>
      </c>
      <c r="L723" s="20" t="s">
        <v>434</v>
      </c>
      <c r="M723" s="20" t="s">
        <v>32</v>
      </c>
      <c r="N723" s="20">
        <f t="shared" ref="N723:S723" ca="1" si="112">SUMIF($W$3:$W$674,"="&amp;$K723&amp;$L723,N$3:N$674)</f>
        <v>0</v>
      </c>
      <c r="O723" s="20">
        <f t="shared" ca="1" si="112"/>
        <v>0</v>
      </c>
      <c r="P723" s="20">
        <f t="shared" ca="1" si="112"/>
        <v>0</v>
      </c>
      <c r="Q723" s="20">
        <f t="shared" ca="1" si="112"/>
        <v>0</v>
      </c>
      <c r="R723" s="20">
        <f t="shared" ca="1" si="112"/>
        <v>0</v>
      </c>
      <c r="S723" s="20">
        <f t="shared" ca="1" si="112"/>
        <v>0</v>
      </c>
      <c r="U723" s="20" t="str">
        <f t="shared" si="65"/>
        <v>commercial_office</v>
      </c>
      <c r="V723" s="20" t="str">
        <f t="shared" si="66"/>
        <v>Monroemediumoffice</v>
      </c>
    </row>
    <row r="724" spans="11:22">
      <c r="K724" s="20" t="s">
        <v>394</v>
      </c>
      <c r="L724" s="20" t="s">
        <v>461</v>
      </c>
      <c r="M724" s="20" t="s">
        <v>32</v>
      </c>
      <c r="N724" s="20">
        <f t="shared" ref="N724:S724" ca="1" si="113">SUMIF($W$3:$W$674,"="&amp;$K724&amp;$L724,N$3:N$674)</f>
        <v>0</v>
      </c>
      <c r="O724" s="20">
        <f t="shared" ca="1" si="113"/>
        <v>0</v>
      </c>
      <c r="P724" s="20">
        <f t="shared" ca="1" si="113"/>
        <v>0</v>
      </c>
      <c r="Q724" s="20">
        <f t="shared" ca="1" si="113"/>
        <v>0</v>
      </c>
      <c r="R724" s="20">
        <f t="shared" ca="1" si="113"/>
        <v>0</v>
      </c>
      <c r="S724" s="20">
        <f t="shared" ca="1" si="113"/>
        <v>0</v>
      </c>
      <c r="U724" s="20" t="str">
        <f t="shared" si="65"/>
        <v/>
      </c>
      <c r="V724" s="20" t="str">
        <f t="shared" si="66"/>
        <v>Monroeoutpatient</v>
      </c>
    </row>
    <row r="725" spans="11:22">
      <c r="K725" s="20" t="s">
        <v>394</v>
      </c>
      <c r="L725" s="20" t="s">
        <v>446</v>
      </c>
      <c r="M725" s="20" t="s">
        <v>32</v>
      </c>
      <c r="N725" s="20">
        <f t="shared" ref="N725:S725" ca="1" si="114">SUMIF($W$3:$W$674,"="&amp;$K725&amp;$L725,N$3:N$674)</f>
        <v>0</v>
      </c>
      <c r="O725" s="20">
        <f t="shared" ca="1" si="114"/>
        <v>0</v>
      </c>
      <c r="P725" s="20">
        <f t="shared" ca="1" si="114"/>
        <v>0</v>
      </c>
      <c r="Q725" s="20">
        <f t="shared" ca="1" si="114"/>
        <v>0</v>
      </c>
      <c r="R725" s="20">
        <f t="shared" ca="1" si="114"/>
        <v>0</v>
      </c>
      <c r="S725" s="20">
        <f t="shared" ca="1" si="114"/>
        <v>0</v>
      </c>
      <c r="U725" s="20" t="str">
        <f t="shared" si="65"/>
        <v>civic_education</v>
      </c>
      <c r="V725" s="20" t="str">
        <f t="shared" si="66"/>
        <v>Monroeprimaryschool</v>
      </c>
    </row>
    <row r="726" spans="11:22">
      <c r="K726" s="20" t="s">
        <v>394</v>
      </c>
      <c r="L726" s="20" t="s">
        <v>457</v>
      </c>
      <c r="M726" s="20" t="s">
        <v>32</v>
      </c>
      <c r="N726" s="20">
        <f t="shared" ref="N726:S726" ca="1" si="115">SUMIF($W$3:$W$674,"="&amp;$K726&amp;$L726,N$3:N$674)</f>
        <v>0</v>
      </c>
      <c r="O726" s="20">
        <f t="shared" ca="1" si="115"/>
        <v>0</v>
      </c>
      <c r="P726" s="20">
        <f t="shared" ca="1" si="115"/>
        <v>0</v>
      </c>
      <c r="Q726" s="20">
        <f t="shared" ca="1" si="115"/>
        <v>0</v>
      </c>
      <c r="R726" s="20">
        <f t="shared" ca="1" si="115"/>
        <v>0</v>
      </c>
      <c r="S726" s="20">
        <f t="shared" ca="1" si="115"/>
        <v>0</v>
      </c>
      <c r="U726" s="20" t="str">
        <f t="shared" si="65"/>
        <v>unknown</v>
      </c>
      <c r="V726" s="20" t="str">
        <f t="shared" si="66"/>
        <v>Monroequickservicerestaurant</v>
      </c>
    </row>
    <row r="727" spans="11:22">
      <c r="K727" s="20" t="s">
        <v>394</v>
      </c>
      <c r="L727" s="20" t="s">
        <v>430</v>
      </c>
      <c r="M727" s="20" t="s">
        <v>32</v>
      </c>
      <c r="N727" s="20">
        <f t="shared" ref="N727:S727" ca="1" si="116">SUMIF($W$3:$W$674,"="&amp;$K727&amp;$L727,N$3:N$674)</f>
        <v>0</v>
      </c>
      <c r="O727" s="20">
        <f t="shared" ca="1" si="116"/>
        <v>0</v>
      </c>
      <c r="P727" s="20">
        <f t="shared" ca="1" si="116"/>
        <v>0</v>
      </c>
      <c r="Q727" s="20">
        <f t="shared" ca="1" si="116"/>
        <v>0</v>
      </c>
      <c r="R727" s="20">
        <f t="shared" ca="1" si="116"/>
        <v>0</v>
      </c>
      <c r="S727" s="20">
        <f t="shared" ca="1" si="116"/>
        <v>0</v>
      </c>
      <c r="U727" s="20" t="str">
        <f t="shared" si="65"/>
        <v>commercial_retail</v>
      </c>
      <c r="V727" s="20" t="str">
        <f t="shared" si="66"/>
        <v>Monroeretailstandalone</v>
      </c>
    </row>
    <row r="728" spans="11:22">
      <c r="K728" s="20" t="s">
        <v>394</v>
      </c>
      <c r="L728" s="20" t="s">
        <v>462</v>
      </c>
      <c r="M728" s="20" t="s">
        <v>32</v>
      </c>
      <c r="N728" s="20">
        <f t="shared" ref="N728:S728" ca="1" si="117">SUMIF($W$3:$W$674,"="&amp;$K728&amp;$L728,N$3:N$674)</f>
        <v>0</v>
      </c>
      <c r="O728" s="20">
        <f t="shared" ca="1" si="117"/>
        <v>0</v>
      </c>
      <c r="P728" s="20">
        <f t="shared" ca="1" si="117"/>
        <v>0</v>
      </c>
      <c r="Q728" s="20">
        <f t="shared" ca="1" si="117"/>
        <v>0</v>
      </c>
      <c r="R728" s="20">
        <f t="shared" ca="1" si="117"/>
        <v>0</v>
      </c>
      <c r="S728" s="20">
        <f t="shared" ca="1" si="117"/>
        <v>0</v>
      </c>
      <c r="U728" s="20" t="str">
        <f t="shared" si="65"/>
        <v/>
      </c>
      <c r="V728" s="20" t="str">
        <f t="shared" si="66"/>
        <v>Monroeretailstripmall</v>
      </c>
    </row>
    <row r="729" spans="11:22">
      <c r="K729" s="20" t="s">
        <v>394</v>
      </c>
      <c r="L729" s="20" t="s">
        <v>463</v>
      </c>
      <c r="M729" s="20" t="s">
        <v>32</v>
      </c>
      <c r="N729" s="20">
        <f t="shared" ref="N729:S729" ca="1" si="118">SUMIF($W$3:$W$674,"="&amp;$K729&amp;$L729,N$3:N$674)</f>
        <v>0</v>
      </c>
      <c r="O729" s="20">
        <f t="shared" ca="1" si="118"/>
        <v>0</v>
      </c>
      <c r="P729" s="20">
        <f t="shared" ca="1" si="118"/>
        <v>0</v>
      </c>
      <c r="Q729" s="20">
        <f t="shared" ca="1" si="118"/>
        <v>0</v>
      </c>
      <c r="R729" s="20">
        <f t="shared" ca="1" si="118"/>
        <v>0</v>
      </c>
      <c r="S729" s="20">
        <f t="shared" ca="1" si="118"/>
        <v>0</v>
      </c>
      <c r="U729" s="20" t="str">
        <f t="shared" si="65"/>
        <v/>
      </c>
      <c r="V729" s="20" t="str">
        <f t="shared" si="66"/>
        <v>Monroesecondaryschool</v>
      </c>
    </row>
    <row r="730" spans="11:22">
      <c r="K730" s="20" t="s">
        <v>394</v>
      </c>
      <c r="L730" s="20" t="s">
        <v>438</v>
      </c>
      <c r="M730" s="20" t="s">
        <v>32</v>
      </c>
      <c r="N730" s="20">
        <f t="shared" ref="N730:S730" ca="1" si="119">SUMIF($W$3:$W$674,"="&amp;$K730&amp;$L730,N$3:N$674)</f>
        <v>0</v>
      </c>
      <c r="O730" s="20">
        <f t="shared" ca="1" si="119"/>
        <v>0</v>
      </c>
      <c r="P730" s="20">
        <f t="shared" ca="1" si="119"/>
        <v>0</v>
      </c>
      <c r="Q730" s="20">
        <f t="shared" ca="1" si="119"/>
        <v>0</v>
      </c>
      <c r="R730" s="20">
        <f t="shared" ca="1" si="119"/>
        <v>0</v>
      </c>
      <c r="S730" s="20">
        <f t="shared" ca="1" si="119"/>
        <v>0</v>
      </c>
      <c r="U730" s="20" t="str">
        <f t="shared" si="65"/>
        <v>commercial_non_retail_attraction</v>
      </c>
      <c r="V730" s="20" t="str">
        <f t="shared" si="66"/>
        <v>Monroesmallhotel</v>
      </c>
    </row>
    <row r="731" spans="11:22">
      <c r="K731" s="20" t="s">
        <v>394</v>
      </c>
      <c r="L731" s="20" t="s">
        <v>464</v>
      </c>
      <c r="M731" s="20" t="s">
        <v>32</v>
      </c>
      <c r="N731" s="20">
        <f t="shared" ref="N731:S731" ca="1" si="120">SUMIF($W$3:$W$674,"="&amp;$K731&amp;$L731,N$3:N$674)</f>
        <v>0</v>
      </c>
      <c r="O731" s="20">
        <f t="shared" ca="1" si="120"/>
        <v>0</v>
      </c>
      <c r="P731" s="20">
        <f t="shared" ca="1" si="120"/>
        <v>0</v>
      </c>
      <c r="Q731" s="20">
        <f t="shared" ca="1" si="120"/>
        <v>0</v>
      </c>
      <c r="R731" s="20">
        <f t="shared" ca="1" si="120"/>
        <v>0</v>
      </c>
      <c r="S731" s="20">
        <f t="shared" ca="1" si="120"/>
        <v>0</v>
      </c>
      <c r="U731" s="20" t="str">
        <f t="shared" si="65"/>
        <v/>
      </c>
      <c r="V731" s="20" t="str">
        <f t="shared" si="66"/>
        <v>Monroesmalloffice</v>
      </c>
    </row>
    <row r="732" spans="11:22">
      <c r="K732" s="20" t="s">
        <v>394</v>
      </c>
      <c r="L732" s="20" t="s">
        <v>452</v>
      </c>
      <c r="M732" s="20" t="s">
        <v>32</v>
      </c>
      <c r="N732" s="20">
        <f t="shared" ref="N732:S732" ca="1" si="121">SUMIF($W$3:$W$674,"="&amp;$K732&amp;$L732,N$3:N$674)</f>
        <v>0</v>
      </c>
      <c r="O732" s="20">
        <f t="shared" ca="1" si="121"/>
        <v>0</v>
      </c>
      <c r="P732" s="20">
        <f t="shared" ca="1" si="121"/>
        <v>0</v>
      </c>
      <c r="Q732" s="20">
        <f t="shared" ca="1" si="121"/>
        <v>0</v>
      </c>
      <c r="R732" s="20">
        <f t="shared" ca="1" si="121"/>
        <v>0</v>
      </c>
      <c r="S732" s="20">
        <f t="shared" ca="1" si="121"/>
        <v>0</v>
      </c>
      <c r="U732" s="20" t="str">
        <f t="shared" si="65"/>
        <v>transportation_utilities</v>
      </c>
      <c r="V732" s="20" t="str">
        <f t="shared" si="66"/>
        <v>Monroewarehouse</v>
      </c>
    </row>
    <row r="733" spans="11:22">
      <c r="K733" s="20" t="s">
        <v>395</v>
      </c>
      <c r="L733" s="20" t="s">
        <v>428</v>
      </c>
      <c r="M733" s="20" t="s">
        <v>32</v>
      </c>
      <c r="N733" s="20">
        <f t="shared" ref="N733:S733" ca="1" si="122">SUMIF($W$3:$W$674,"="&amp;$K733&amp;$L733,N$3:N$674)</f>
        <v>0</v>
      </c>
      <c r="O733" s="20">
        <f t="shared" ca="1" si="122"/>
        <v>0</v>
      </c>
      <c r="P733" s="20">
        <f t="shared" ca="1" si="122"/>
        <v>0</v>
      </c>
      <c r="Q733" s="20">
        <f t="shared" ca="1" si="122"/>
        <v>0</v>
      </c>
      <c r="R733" s="20">
        <f t="shared" ca="1" si="122"/>
        <v>0</v>
      </c>
      <c r="S733" s="20">
        <f t="shared" ca="1" si="122"/>
        <v>0</v>
      </c>
      <c r="U733" s="20" t="str">
        <f t="shared" si="65"/>
        <v>other</v>
      </c>
      <c r="V733" s="20" t="str">
        <f t="shared" si="66"/>
        <v>Oaklandfullservicerestaurant</v>
      </c>
    </row>
    <row r="734" spans="11:22">
      <c r="K734" s="20" t="s">
        <v>395</v>
      </c>
      <c r="L734" s="20" t="s">
        <v>449</v>
      </c>
      <c r="M734" s="20" t="s">
        <v>32</v>
      </c>
      <c r="N734" s="20">
        <f t="shared" ref="N734:S734" ca="1" si="123">SUMIF($W$3:$W$674,"="&amp;$K734&amp;$L734,N$3:N$674)</f>
        <v>0</v>
      </c>
      <c r="O734" s="20">
        <f t="shared" ca="1" si="123"/>
        <v>0</v>
      </c>
      <c r="P734" s="20">
        <f t="shared" ca="1" si="123"/>
        <v>0</v>
      </c>
      <c r="Q734" s="20">
        <f t="shared" ca="1" si="123"/>
        <v>0</v>
      </c>
      <c r="R734" s="20">
        <f t="shared" ca="1" si="123"/>
        <v>0</v>
      </c>
      <c r="S734" s="20">
        <f t="shared" ca="1" si="123"/>
        <v>0</v>
      </c>
      <c r="U734" s="20" t="str">
        <f t="shared" si="65"/>
        <v/>
      </c>
      <c r="V734" s="20" t="str">
        <f t="shared" si="66"/>
        <v>Oaklandhospital</v>
      </c>
    </row>
    <row r="735" spans="11:22">
      <c r="K735" s="20" t="s">
        <v>395</v>
      </c>
      <c r="L735" s="20" t="s">
        <v>458</v>
      </c>
      <c r="M735" s="20" t="s">
        <v>32</v>
      </c>
      <c r="N735" s="20">
        <f t="shared" ref="N735:S735" ca="1" si="124">SUMIF($W$3:$W$674,"="&amp;$K735&amp;$L735,N$3:N$674)</f>
        <v>0</v>
      </c>
      <c r="O735" s="20">
        <f t="shared" ca="1" si="124"/>
        <v>0</v>
      </c>
      <c r="P735" s="20">
        <f t="shared" ca="1" si="124"/>
        <v>0</v>
      </c>
      <c r="Q735" s="20">
        <f t="shared" ca="1" si="124"/>
        <v>0</v>
      </c>
      <c r="R735" s="20">
        <f t="shared" ca="1" si="124"/>
        <v>0</v>
      </c>
      <c r="S735" s="20">
        <f t="shared" ca="1" si="124"/>
        <v>0</v>
      </c>
      <c r="U735" s="20" t="str">
        <f t="shared" si="65"/>
        <v/>
      </c>
      <c r="V735" s="20" t="str">
        <f t="shared" si="66"/>
        <v>Oaklandlargehotel</v>
      </c>
    </row>
    <row r="736" spans="11:22">
      <c r="K736" s="20" t="s">
        <v>395</v>
      </c>
      <c r="L736" s="20" t="s">
        <v>460</v>
      </c>
      <c r="M736" s="20" t="s">
        <v>32</v>
      </c>
      <c r="N736" s="20">
        <f t="shared" ref="N736:S736" ca="1" si="125">SUMIF($W$3:$W$674,"="&amp;$K736&amp;$L736,N$3:N$674)</f>
        <v>0</v>
      </c>
      <c r="O736" s="20">
        <f t="shared" ca="1" si="125"/>
        <v>0</v>
      </c>
      <c r="P736" s="20">
        <f t="shared" ca="1" si="125"/>
        <v>0</v>
      </c>
      <c r="Q736" s="20">
        <f t="shared" ca="1" si="125"/>
        <v>0</v>
      </c>
      <c r="R736" s="20">
        <f t="shared" ca="1" si="125"/>
        <v>0</v>
      </c>
      <c r="S736" s="20">
        <f t="shared" ca="1" si="125"/>
        <v>0</v>
      </c>
      <c r="U736" s="20" t="str">
        <f t="shared" si="65"/>
        <v/>
      </c>
      <c r="V736" s="20" t="str">
        <f t="shared" si="66"/>
        <v>Oaklandlargeoffice</v>
      </c>
    </row>
    <row r="737" spans="11:22">
      <c r="K737" s="20" t="s">
        <v>395</v>
      </c>
      <c r="L737" s="20" t="s">
        <v>434</v>
      </c>
      <c r="M737" s="20" t="s">
        <v>32</v>
      </c>
      <c r="N737" s="20">
        <f t="shared" ref="N737:S737" ca="1" si="126">SUMIF($W$3:$W$674,"="&amp;$K737&amp;$L737,N$3:N$674)</f>
        <v>0</v>
      </c>
      <c r="O737" s="20">
        <f t="shared" ca="1" si="126"/>
        <v>0</v>
      </c>
      <c r="P737" s="20">
        <f t="shared" ca="1" si="126"/>
        <v>0</v>
      </c>
      <c r="Q737" s="20">
        <f t="shared" ca="1" si="126"/>
        <v>0</v>
      </c>
      <c r="R737" s="20">
        <f t="shared" ca="1" si="126"/>
        <v>0</v>
      </c>
      <c r="S737" s="20">
        <f t="shared" ca="1" si="126"/>
        <v>0</v>
      </c>
      <c r="U737" s="20" t="str">
        <f t="shared" si="65"/>
        <v>commercial_office</v>
      </c>
      <c r="V737" s="20" t="str">
        <f t="shared" si="66"/>
        <v>Oaklandmediumoffice</v>
      </c>
    </row>
    <row r="738" spans="11:22">
      <c r="K738" s="20" t="s">
        <v>395</v>
      </c>
      <c r="L738" s="20" t="s">
        <v>461</v>
      </c>
      <c r="M738" s="20" t="s">
        <v>32</v>
      </c>
      <c r="N738" s="20">
        <f t="shared" ref="N738:S738" ca="1" si="127">SUMIF($W$3:$W$674,"="&amp;$K738&amp;$L738,N$3:N$674)</f>
        <v>0</v>
      </c>
      <c r="O738" s="20">
        <f t="shared" ca="1" si="127"/>
        <v>0</v>
      </c>
      <c r="P738" s="20">
        <f t="shared" ca="1" si="127"/>
        <v>0</v>
      </c>
      <c r="Q738" s="20">
        <f t="shared" ca="1" si="127"/>
        <v>0</v>
      </c>
      <c r="R738" s="20">
        <f t="shared" ca="1" si="127"/>
        <v>0</v>
      </c>
      <c r="S738" s="20">
        <f t="shared" ca="1" si="127"/>
        <v>0</v>
      </c>
      <c r="U738" s="20" t="str">
        <f t="shared" si="65"/>
        <v/>
      </c>
      <c r="V738" s="20" t="str">
        <f t="shared" si="66"/>
        <v>Oaklandoutpatient</v>
      </c>
    </row>
    <row r="739" spans="11:22">
      <c r="K739" s="20" t="s">
        <v>395</v>
      </c>
      <c r="L739" s="20" t="s">
        <v>446</v>
      </c>
      <c r="M739" s="20" t="s">
        <v>32</v>
      </c>
      <c r="N739" s="20">
        <f t="shared" ref="N739:S739" ca="1" si="128">SUMIF($W$3:$W$674,"="&amp;$K739&amp;$L739,N$3:N$674)</f>
        <v>0</v>
      </c>
      <c r="O739" s="20">
        <f t="shared" ca="1" si="128"/>
        <v>0</v>
      </c>
      <c r="P739" s="20">
        <f t="shared" ca="1" si="128"/>
        <v>0</v>
      </c>
      <c r="Q739" s="20">
        <f t="shared" ca="1" si="128"/>
        <v>0</v>
      </c>
      <c r="R739" s="20">
        <f t="shared" ca="1" si="128"/>
        <v>0</v>
      </c>
      <c r="S739" s="20">
        <f t="shared" ca="1" si="128"/>
        <v>0</v>
      </c>
      <c r="U739" s="20" t="str">
        <f t="shared" si="65"/>
        <v>civic_education</v>
      </c>
      <c r="V739" s="20" t="str">
        <f t="shared" si="66"/>
        <v>Oaklandprimaryschool</v>
      </c>
    </row>
    <row r="740" spans="11:22">
      <c r="K740" s="20" t="s">
        <v>395</v>
      </c>
      <c r="L740" s="20" t="s">
        <v>457</v>
      </c>
      <c r="M740" s="20" t="s">
        <v>32</v>
      </c>
      <c r="N740" s="20">
        <f t="shared" ref="N740:S740" ca="1" si="129">SUMIF($W$3:$W$674,"="&amp;$K740&amp;$L740,N$3:N$674)</f>
        <v>0</v>
      </c>
      <c r="O740" s="20">
        <f t="shared" ca="1" si="129"/>
        <v>0</v>
      </c>
      <c r="P740" s="20">
        <f t="shared" ca="1" si="129"/>
        <v>0</v>
      </c>
      <c r="Q740" s="20">
        <f t="shared" ca="1" si="129"/>
        <v>0</v>
      </c>
      <c r="R740" s="20">
        <f t="shared" ca="1" si="129"/>
        <v>0</v>
      </c>
      <c r="S740" s="20">
        <f t="shared" ca="1" si="129"/>
        <v>0</v>
      </c>
      <c r="U740" s="20" t="str">
        <f t="shared" si="65"/>
        <v>unknown</v>
      </c>
      <c r="V740" s="20" t="str">
        <f t="shared" si="66"/>
        <v>Oaklandquickservicerestaurant</v>
      </c>
    </row>
    <row r="741" spans="11:22">
      <c r="K741" s="20" t="s">
        <v>395</v>
      </c>
      <c r="L741" s="20" t="s">
        <v>430</v>
      </c>
      <c r="M741" s="20" t="s">
        <v>32</v>
      </c>
      <c r="N741" s="20">
        <f t="shared" ref="N741:S741" ca="1" si="130">SUMIF($W$3:$W$674,"="&amp;$K741&amp;$L741,N$3:N$674)</f>
        <v>0</v>
      </c>
      <c r="O741" s="20">
        <f t="shared" ca="1" si="130"/>
        <v>0</v>
      </c>
      <c r="P741" s="20">
        <f t="shared" ca="1" si="130"/>
        <v>0</v>
      </c>
      <c r="Q741" s="20">
        <f t="shared" ca="1" si="130"/>
        <v>0</v>
      </c>
      <c r="R741" s="20">
        <f t="shared" ca="1" si="130"/>
        <v>0</v>
      </c>
      <c r="S741" s="20">
        <f t="shared" ca="1" si="130"/>
        <v>0</v>
      </c>
      <c r="U741" s="20" t="str">
        <f t="shared" si="65"/>
        <v>commercial_retail</v>
      </c>
      <c r="V741" s="20" t="str">
        <f t="shared" si="66"/>
        <v>Oaklandretailstandalone</v>
      </c>
    </row>
    <row r="742" spans="11:22">
      <c r="K742" s="20" t="s">
        <v>395</v>
      </c>
      <c r="L742" s="20" t="s">
        <v>462</v>
      </c>
      <c r="M742" s="20" t="s">
        <v>32</v>
      </c>
      <c r="N742" s="20">
        <f t="shared" ref="N742:S742" ca="1" si="131">SUMIF($W$3:$W$674,"="&amp;$K742&amp;$L742,N$3:N$674)</f>
        <v>0</v>
      </c>
      <c r="O742" s="20">
        <f t="shared" ca="1" si="131"/>
        <v>0</v>
      </c>
      <c r="P742" s="20">
        <f t="shared" ca="1" si="131"/>
        <v>0</v>
      </c>
      <c r="Q742" s="20">
        <f t="shared" ca="1" si="131"/>
        <v>0</v>
      </c>
      <c r="R742" s="20">
        <f t="shared" ca="1" si="131"/>
        <v>0</v>
      </c>
      <c r="S742" s="20">
        <f t="shared" ca="1" si="131"/>
        <v>0</v>
      </c>
      <c r="U742" s="20" t="str">
        <f t="shared" si="65"/>
        <v/>
      </c>
      <c r="V742" s="20" t="str">
        <f t="shared" si="66"/>
        <v>Oaklandretailstripmall</v>
      </c>
    </row>
    <row r="743" spans="11:22">
      <c r="K743" s="20" t="s">
        <v>395</v>
      </c>
      <c r="L743" s="20" t="s">
        <v>463</v>
      </c>
      <c r="M743" s="20" t="s">
        <v>32</v>
      </c>
      <c r="N743" s="20">
        <f t="shared" ref="N743:S743" ca="1" si="132">SUMIF($W$3:$W$674,"="&amp;$K743&amp;$L743,N$3:N$674)</f>
        <v>0</v>
      </c>
      <c r="O743" s="20">
        <f t="shared" ca="1" si="132"/>
        <v>0</v>
      </c>
      <c r="P743" s="20">
        <f t="shared" ca="1" si="132"/>
        <v>0</v>
      </c>
      <c r="Q743" s="20">
        <f t="shared" ca="1" si="132"/>
        <v>0</v>
      </c>
      <c r="R743" s="20">
        <f t="shared" ca="1" si="132"/>
        <v>0</v>
      </c>
      <c r="S743" s="20">
        <f t="shared" ca="1" si="132"/>
        <v>0</v>
      </c>
      <c r="U743" s="20" t="str">
        <f t="shared" si="65"/>
        <v/>
      </c>
      <c r="V743" s="20" t="str">
        <f t="shared" si="66"/>
        <v>Oaklandsecondaryschool</v>
      </c>
    </row>
    <row r="744" spans="11:22">
      <c r="K744" s="20" t="s">
        <v>395</v>
      </c>
      <c r="L744" s="20" t="s">
        <v>438</v>
      </c>
      <c r="M744" s="20" t="s">
        <v>32</v>
      </c>
      <c r="N744" s="20">
        <f t="shared" ref="N744:S744" ca="1" si="133">SUMIF($W$3:$W$674,"="&amp;$K744&amp;$L744,N$3:N$674)</f>
        <v>0</v>
      </c>
      <c r="O744" s="20">
        <f t="shared" ca="1" si="133"/>
        <v>0</v>
      </c>
      <c r="P744" s="20">
        <f t="shared" ca="1" si="133"/>
        <v>0</v>
      </c>
      <c r="Q744" s="20">
        <f t="shared" ca="1" si="133"/>
        <v>0</v>
      </c>
      <c r="R744" s="20">
        <f t="shared" ca="1" si="133"/>
        <v>0</v>
      </c>
      <c r="S744" s="20">
        <f t="shared" ca="1" si="133"/>
        <v>0</v>
      </c>
      <c r="U744" s="20" t="str">
        <f t="shared" si="65"/>
        <v>commercial_non_retail_attraction</v>
      </c>
      <c r="V744" s="20" t="str">
        <f t="shared" si="66"/>
        <v>Oaklandsmallhotel</v>
      </c>
    </row>
    <row r="745" spans="11:22">
      <c r="K745" s="20" t="s">
        <v>395</v>
      </c>
      <c r="L745" s="20" t="s">
        <v>464</v>
      </c>
      <c r="M745" s="20" t="s">
        <v>32</v>
      </c>
      <c r="N745" s="20">
        <f t="shared" ref="N745:S745" ca="1" si="134">SUMIF($W$3:$W$674,"="&amp;$K745&amp;$L745,N$3:N$674)</f>
        <v>0</v>
      </c>
      <c r="O745" s="20">
        <f t="shared" ca="1" si="134"/>
        <v>0</v>
      </c>
      <c r="P745" s="20">
        <f t="shared" ca="1" si="134"/>
        <v>0</v>
      </c>
      <c r="Q745" s="20">
        <f t="shared" ca="1" si="134"/>
        <v>0</v>
      </c>
      <c r="R745" s="20">
        <f t="shared" ca="1" si="134"/>
        <v>0</v>
      </c>
      <c r="S745" s="20">
        <f t="shared" ca="1" si="134"/>
        <v>0</v>
      </c>
      <c r="U745" s="20" t="str">
        <f t="shared" si="65"/>
        <v/>
      </c>
      <c r="V745" s="20" t="str">
        <f t="shared" si="66"/>
        <v>Oaklandsmalloffice</v>
      </c>
    </row>
    <row r="746" spans="11:22">
      <c r="K746" s="20" t="s">
        <v>395</v>
      </c>
      <c r="L746" s="20" t="s">
        <v>452</v>
      </c>
      <c r="M746" s="20" t="s">
        <v>32</v>
      </c>
      <c r="N746" s="20">
        <f t="shared" ref="N746:S746" ca="1" si="135">SUMIF($W$3:$W$674,"="&amp;$K746&amp;$L746,N$3:N$674)</f>
        <v>0</v>
      </c>
      <c r="O746" s="20">
        <f t="shared" ca="1" si="135"/>
        <v>0</v>
      </c>
      <c r="P746" s="20">
        <f t="shared" ca="1" si="135"/>
        <v>0</v>
      </c>
      <c r="Q746" s="20">
        <f t="shared" ca="1" si="135"/>
        <v>0</v>
      </c>
      <c r="R746" s="20">
        <f t="shared" ca="1" si="135"/>
        <v>0</v>
      </c>
      <c r="S746" s="20">
        <f t="shared" ca="1" si="135"/>
        <v>0</v>
      </c>
      <c r="U746" s="20" t="str">
        <f t="shared" si="65"/>
        <v>transportation_utilities</v>
      </c>
      <c r="V746" s="20" t="str">
        <f t="shared" si="66"/>
        <v>Oaklandwarehouse</v>
      </c>
    </row>
    <row r="747" spans="11:22">
      <c r="K747" s="20" t="s">
        <v>396</v>
      </c>
      <c r="L747" s="20" t="s">
        <v>428</v>
      </c>
      <c r="M747" s="20" t="s">
        <v>32</v>
      </c>
      <c r="N747" s="20">
        <f t="shared" ref="N747:S747" ca="1" si="136">SUMIF($W$3:$W$674,"="&amp;$K747&amp;$L747,N$3:N$674)</f>
        <v>0</v>
      </c>
      <c r="O747" s="20">
        <f t="shared" ca="1" si="136"/>
        <v>0</v>
      </c>
      <c r="P747" s="20">
        <f t="shared" ca="1" si="136"/>
        <v>0</v>
      </c>
      <c r="Q747" s="20">
        <f t="shared" ca="1" si="136"/>
        <v>0</v>
      </c>
      <c r="R747" s="20">
        <f t="shared" ca="1" si="136"/>
        <v>0</v>
      </c>
      <c r="S747" s="20">
        <f t="shared" ca="1" si="136"/>
        <v>0</v>
      </c>
      <c r="U747" s="20" t="str">
        <f t="shared" si="65"/>
        <v>other</v>
      </c>
      <c r="V747" s="20" t="str">
        <f t="shared" si="66"/>
        <v>St. Clairfullservicerestaurant</v>
      </c>
    </row>
    <row r="748" spans="11:22">
      <c r="K748" s="20" t="s">
        <v>396</v>
      </c>
      <c r="L748" s="20" t="s">
        <v>449</v>
      </c>
      <c r="M748" s="20" t="s">
        <v>32</v>
      </c>
      <c r="N748" s="20">
        <f t="shared" ref="N748:S748" ca="1" si="137">SUMIF($W$3:$W$674,"="&amp;$K748&amp;$L748,N$3:N$674)</f>
        <v>0</v>
      </c>
      <c r="O748" s="20">
        <f t="shared" ca="1" si="137"/>
        <v>0</v>
      </c>
      <c r="P748" s="20">
        <f t="shared" ca="1" si="137"/>
        <v>0</v>
      </c>
      <c r="Q748" s="20">
        <f t="shared" ca="1" si="137"/>
        <v>0</v>
      </c>
      <c r="R748" s="20">
        <f t="shared" ca="1" si="137"/>
        <v>0</v>
      </c>
      <c r="S748" s="20">
        <f t="shared" ca="1" si="137"/>
        <v>0</v>
      </c>
      <c r="U748" s="20" t="str">
        <f t="shared" si="65"/>
        <v/>
      </c>
      <c r="V748" s="20" t="str">
        <f t="shared" si="66"/>
        <v>St. Clairhospital</v>
      </c>
    </row>
    <row r="749" spans="11:22">
      <c r="K749" s="20" t="s">
        <v>396</v>
      </c>
      <c r="L749" s="20" t="s">
        <v>458</v>
      </c>
      <c r="M749" s="20" t="s">
        <v>32</v>
      </c>
      <c r="N749" s="20">
        <f t="shared" ref="N749:S749" ca="1" si="138">SUMIF($W$3:$W$674,"="&amp;$K749&amp;$L749,N$3:N$674)</f>
        <v>0</v>
      </c>
      <c r="O749" s="20">
        <f t="shared" ca="1" si="138"/>
        <v>0</v>
      </c>
      <c r="P749" s="20">
        <f t="shared" ca="1" si="138"/>
        <v>0</v>
      </c>
      <c r="Q749" s="20">
        <f t="shared" ca="1" si="138"/>
        <v>0</v>
      </c>
      <c r="R749" s="20">
        <f t="shared" ca="1" si="138"/>
        <v>0</v>
      </c>
      <c r="S749" s="20">
        <f t="shared" ca="1" si="138"/>
        <v>0</v>
      </c>
      <c r="U749" s="20" t="str">
        <f t="shared" si="65"/>
        <v/>
      </c>
      <c r="V749" s="20" t="str">
        <f t="shared" si="66"/>
        <v>St. Clairlargehotel</v>
      </c>
    </row>
    <row r="750" spans="11:22">
      <c r="K750" s="20" t="s">
        <v>396</v>
      </c>
      <c r="L750" s="20" t="s">
        <v>460</v>
      </c>
      <c r="M750" s="20" t="s">
        <v>32</v>
      </c>
      <c r="N750" s="20">
        <f t="shared" ref="N750:S750" ca="1" si="139">SUMIF($W$3:$W$674,"="&amp;$K750&amp;$L750,N$3:N$674)</f>
        <v>0</v>
      </c>
      <c r="O750" s="20">
        <f t="shared" ca="1" si="139"/>
        <v>0</v>
      </c>
      <c r="P750" s="20">
        <f t="shared" ca="1" si="139"/>
        <v>0</v>
      </c>
      <c r="Q750" s="20">
        <f t="shared" ca="1" si="139"/>
        <v>0</v>
      </c>
      <c r="R750" s="20">
        <f t="shared" ca="1" si="139"/>
        <v>0</v>
      </c>
      <c r="S750" s="20">
        <f t="shared" ca="1" si="139"/>
        <v>0</v>
      </c>
      <c r="U750" s="20" t="str">
        <f t="shared" si="65"/>
        <v/>
      </c>
      <c r="V750" s="20" t="str">
        <f t="shared" si="66"/>
        <v>St. Clairlargeoffice</v>
      </c>
    </row>
    <row r="751" spans="11:22">
      <c r="K751" s="20" t="s">
        <v>396</v>
      </c>
      <c r="L751" s="20" t="s">
        <v>434</v>
      </c>
      <c r="M751" s="20" t="s">
        <v>32</v>
      </c>
      <c r="N751" s="20">
        <f t="shared" ref="N751:S751" ca="1" si="140">SUMIF($W$3:$W$674,"="&amp;$K751&amp;$L751,N$3:N$674)</f>
        <v>0</v>
      </c>
      <c r="O751" s="20">
        <f t="shared" ca="1" si="140"/>
        <v>0</v>
      </c>
      <c r="P751" s="20">
        <f t="shared" ca="1" si="140"/>
        <v>0</v>
      </c>
      <c r="Q751" s="20">
        <f t="shared" ca="1" si="140"/>
        <v>0</v>
      </c>
      <c r="R751" s="20">
        <f t="shared" ca="1" si="140"/>
        <v>0</v>
      </c>
      <c r="S751" s="20">
        <f t="shared" ca="1" si="140"/>
        <v>0</v>
      </c>
      <c r="U751" s="20" t="str">
        <f t="shared" si="65"/>
        <v>commercial_office</v>
      </c>
      <c r="V751" s="20" t="str">
        <f t="shared" si="66"/>
        <v>St. Clairmediumoffice</v>
      </c>
    </row>
    <row r="752" spans="11:22">
      <c r="K752" s="20" t="s">
        <v>396</v>
      </c>
      <c r="L752" s="20" t="s">
        <v>461</v>
      </c>
      <c r="M752" s="20" t="s">
        <v>32</v>
      </c>
      <c r="N752" s="20">
        <f t="shared" ref="N752:S752" ca="1" si="141">SUMIF($W$3:$W$674,"="&amp;$K752&amp;$L752,N$3:N$674)</f>
        <v>0</v>
      </c>
      <c r="O752" s="20">
        <f t="shared" ca="1" si="141"/>
        <v>0</v>
      </c>
      <c r="P752" s="20">
        <f t="shared" ca="1" si="141"/>
        <v>0</v>
      </c>
      <c r="Q752" s="20">
        <f t="shared" ca="1" si="141"/>
        <v>0</v>
      </c>
      <c r="R752" s="20">
        <f t="shared" ca="1" si="141"/>
        <v>0</v>
      </c>
      <c r="S752" s="20">
        <f t="shared" ca="1" si="141"/>
        <v>0</v>
      </c>
      <c r="U752" s="20" t="str">
        <f t="shared" si="65"/>
        <v/>
      </c>
      <c r="V752" s="20" t="str">
        <f t="shared" si="66"/>
        <v>St. Clairoutpatient</v>
      </c>
    </row>
    <row r="753" spans="11:22">
      <c r="K753" s="20" t="s">
        <v>396</v>
      </c>
      <c r="L753" s="20" t="s">
        <v>446</v>
      </c>
      <c r="M753" s="20" t="s">
        <v>32</v>
      </c>
      <c r="N753" s="20">
        <f t="shared" ref="N753:S753" ca="1" si="142">SUMIF($W$3:$W$674,"="&amp;$K753&amp;$L753,N$3:N$674)</f>
        <v>0</v>
      </c>
      <c r="O753" s="20">
        <f t="shared" ca="1" si="142"/>
        <v>0</v>
      </c>
      <c r="P753" s="20">
        <f t="shared" ca="1" si="142"/>
        <v>0</v>
      </c>
      <c r="Q753" s="20">
        <f t="shared" ca="1" si="142"/>
        <v>0</v>
      </c>
      <c r="R753" s="20">
        <f t="shared" ca="1" si="142"/>
        <v>0</v>
      </c>
      <c r="S753" s="20">
        <f t="shared" ca="1" si="142"/>
        <v>0</v>
      </c>
      <c r="U753" s="20" t="str">
        <f t="shared" si="65"/>
        <v>civic_education</v>
      </c>
      <c r="V753" s="20" t="str">
        <f t="shared" si="66"/>
        <v>St. Clairprimaryschool</v>
      </c>
    </row>
    <row r="754" spans="11:22">
      <c r="K754" s="20" t="s">
        <v>396</v>
      </c>
      <c r="L754" s="20" t="s">
        <v>457</v>
      </c>
      <c r="M754" s="20" t="s">
        <v>32</v>
      </c>
      <c r="N754" s="20">
        <f t="shared" ref="N754:S754" ca="1" si="143">SUMIF($W$3:$W$674,"="&amp;$K754&amp;$L754,N$3:N$674)</f>
        <v>0</v>
      </c>
      <c r="O754" s="20">
        <f t="shared" ca="1" si="143"/>
        <v>0</v>
      </c>
      <c r="P754" s="20">
        <f t="shared" ca="1" si="143"/>
        <v>0</v>
      </c>
      <c r="Q754" s="20">
        <f t="shared" ca="1" si="143"/>
        <v>0</v>
      </c>
      <c r="R754" s="20">
        <f t="shared" ca="1" si="143"/>
        <v>0</v>
      </c>
      <c r="S754" s="20">
        <f t="shared" ca="1" si="143"/>
        <v>0</v>
      </c>
      <c r="U754" s="20" t="str">
        <f t="shared" si="65"/>
        <v>unknown</v>
      </c>
      <c r="V754" s="20" t="str">
        <f t="shared" si="66"/>
        <v>St. Clairquickservicerestaurant</v>
      </c>
    </row>
    <row r="755" spans="11:22">
      <c r="K755" s="20" t="s">
        <v>396</v>
      </c>
      <c r="L755" s="20" t="s">
        <v>430</v>
      </c>
      <c r="M755" s="20" t="s">
        <v>32</v>
      </c>
      <c r="N755" s="20">
        <f t="shared" ref="N755:S755" ca="1" si="144">SUMIF($W$3:$W$674,"="&amp;$K755&amp;$L755,N$3:N$674)</f>
        <v>0</v>
      </c>
      <c r="O755" s="20">
        <f t="shared" ca="1" si="144"/>
        <v>0</v>
      </c>
      <c r="P755" s="20">
        <f t="shared" ca="1" si="144"/>
        <v>0</v>
      </c>
      <c r="Q755" s="20">
        <f t="shared" ca="1" si="144"/>
        <v>0</v>
      </c>
      <c r="R755" s="20">
        <f t="shared" ca="1" si="144"/>
        <v>0</v>
      </c>
      <c r="S755" s="20">
        <f t="shared" ca="1" si="144"/>
        <v>0</v>
      </c>
      <c r="U755" s="20" t="str">
        <f t="shared" si="65"/>
        <v>commercial_retail</v>
      </c>
      <c r="V755" s="20" t="str">
        <f t="shared" si="66"/>
        <v>St. Clairretailstandalone</v>
      </c>
    </row>
    <row r="756" spans="11:22">
      <c r="K756" s="20" t="s">
        <v>396</v>
      </c>
      <c r="L756" s="20" t="s">
        <v>462</v>
      </c>
      <c r="M756" s="20" t="s">
        <v>32</v>
      </c>
      <c r="N756" s="20">
        <f t="shared" ref="N756:S756" ca="1" si="145">SUMIF($W$3:$W$674,"="&amp;$K756&amp;$L756,N$3:N$674)</f>
        <v>0</v>
      </c>
      <c r="O756" s="20">
        <f t="shared" ca="1" si="145"/>
        <v>0</v>
      </c>
      <c r="P756" s="20">
        <f t="shared" ca="1" si="145"/>
        <v>0</v>
      </c>
      <c r="Q756" s="20">
        <f t="shared" ca="1" si="145"/>
        <v>0</v>
      </c>
      <c r="R756" s="20">
        <f t="shared" ca="1" si="145"/>
        <v>0</v>
      </c>
      <c r="S756" s="20">
        <f t="shared" ca="1" si="145"/>
        <v>0</v>
      </c>
      <c r="U756" s="20" t="str">
        <f t="shared" si="65"/>
        <v/>
      </c>
      <c r="V756" s="20" t="str">
        <f t="shared" si="66"/>
        <v>St. Clairretailstripmall</v>
      </c>
    </row>
    <row r="757" spans="11:22">
      <c r="K757" s="20" t="s">
        <v>396</v>
      </c>
      <c r="L757" s="20" t="s">
        <v>463</v>
      </c>
      <c r="M757" s="20" t="s">
        <v>32</v>
      </c>
      <c r="N757" s="20">
        <f t="shared" ref="N757:S757" ca="1" si="146">SUMIF($W$3:$W$674,"="&amp;$K757&amp;$L757,N$3:N$674)</f>
        <v>0</v>
      </c>
      <c r="O757" s="20">
        <f t="shared" ca="1" si="146"/>
        <v>0</v>
      </c>
      <c r="P757" s="20">
        <f t="shared" ca="1" si="146"/>
        <v>0</v>
      </c>
      <c r="Q757" s="20">
        <f t="shared" ca="1" si="146"/>
        <v>0</v>
      </c>
      <c r="R757" s="20">
        <f t="shared" ca="1" si="146"/>
        <v>0</v>
      </c>
      <c r="S757" s="20">
        <f t="shared" ca="1" si="146"/>
        <v>0</v>
      </c>
      <c r="U757" s="20" t="str">
        <f t="shared" si="65"/>
        <v/>
      </c>
      <c r="V757" s="20" t="str">
        <f t="shared" si="66"/>
        <v>St. Clairsecondaryschool</v>
      </c>
    </row>
    <row r="758" spans="11:22">
      <c r="K758" s="20" t="s">
        <v>396</v>
      </c>
      <c r="L758" s="20" t="s">
        <v>438</v>
      </c>
      <c r="M758" s="20" t="s">
        <v>32</v>
      </c>
      <c r="N758" s="20">
        <f t="shared" ref="N758:S758" ca="1" si="147">SUMIF($W$3:$W$674,"="&amp;$K758&amp;$L758,N$3:N$674)</f>
        <v>0</v>
      </c>
      <c r="O758" s="20">
        <f t="shared" ca="1" si="147"/>
        <v>0</v>
      </c>
      <c r="P758" s="20">
        <f t="shared" ca="1" si="147"/>
        <v>0</v>
      </c>
      <c r="Q758" s="20">
        <f t="shared" ca="1" si="147"/>
        <v>0</v>
      </c>
      <c r="R758" s="20">
        <f t="shared" ca="1" si="147"/>
        <v>0</v>
      </c>
      <c r="S758" s="20">
        <f t="shared" ca="1" si="147"/>
        <v>0</v>
      </c>
      <c r="U758" s="20" t="str">
        <f t="shared" si="65"/>
        <v>commercial_non_retail_attraction</v>
      </c>
      <c r="V758" s="20" t="str">
        <f t="shared" si="66"/>
        <v>St. Clairsmallhotel</v>
      </c>
    </row>
    <row r="759" spans="11:22">
      <c r="K759" s="20" t="s">
        <v>396</v>
      </c>
      <c r="L759" s="20" t="s">
        <v>464</v>
      </c>
      <c r="M759" s="20" t="s">
        <v>32</v>
      </c>
      <c r="N759" s="20">
        <f t="shared" ref="N759:S759" ca="1" si="148">SUMIF($W$3:$W$674,"="&amp;$K759&amp;$L759,N$3:N$674)</f>
        <v>0</v>
      </c>
      <c r="O759" s="20">
        <f t="shared" ca="1" si="148"/>
        <v>0</v>
      </c>
      <c r="P759" s="20">
        <f t="shared" ca="1" si="148"/>
        <v>0</v>
      </c>
      <c r="Q759" s="20">
        <f t="shared" ca="1" si="148"/>
        <v>0</v>
      </c>
      <c r="R759" s="20">
        <f t="shared" ca="1" si="148"/>
        <v>0</v>
      </c>
      <c r="S759" s="20">
        <f t="shared" ca="1" si="148"/>
        <v>0</v>
      </c>
      <c r="U759" s="20" t="str">
        <f t="shared" si="65"/>
        <v/>
      </c>
      <c r="V759" s="20" t="str">
        <f t="shared" si="66"/>
        <v>St. Clairsmalloffice</v>
      </c>
    </row>
    <row r="760" spans="11:22">
      <c r="K760" s="20" t="s">
        <v>396</v>
      </c>
      <c r="L760" s="20" t="s">
        <v>452</v>
      </c>
      <c r="M760" s="20" t="s">
        <v>32</v>
      </c>
      <c r="N760" s="20">
        <f t="shared" ref="N760:S760" ca="1" si="149">SUMIF($W$3:$W$674,"="&amp;$K760&amp;$L760,N$3:N$674)</f>
        <v>0</v>
      </c>
      <c r="O760" s="20">
        <f t="shared" ca="1" si="149"/>
        <v>0</v>
      </c>
      <c r="P760" s="20">
        <f t="shared" ca="1" si="149"/>
        <v>0</v>
      </c>
      <c r="Q760" s="20">
        <f t="shared" ca="1" si="149"/>
        <v>0</v>
      </c>
      <c r="R760" s="20">
        <f t="shared" ca="1" si="149"/>
        <v>0</v>
      </c>
      <c r="S760" s="20">
        <f t="shared" ca="1" si="149"/>
        <v>0</v>
      </c>
      <c r="U760" s="20" t="str">
        <f t="shared" si="65"/>
        <v>transportation_utilities</v>
      </c>
      <c r="V760" s="20" t="str">
        <f t="shared" si="66"/>
        <v>St. Clairwarehouse</v>
      </c>
    </row>
    <row r="761" spans="11:22">
      <c r="K761" s="20" t="s">
        <v>397</v>
      </c>
      <c r="L761" s="20" t="s">
        <v>428</v>
      </c>
      <c r="M761" s="20" t="s">
        <v>32</v>
      </c>
      <c r="N761" s="20">
        <f t="shared" ref="N761:S761" ca="1" si="150">SUMIF($W$3:$W$674,"="&amp;$K761&amp;$L761,N$3:N$674)</f>
        <v>0</v>
      </c>
      <c r="O761" s="20">
        <f t="shared" ca="1" si="150"/>
        <v>0</v>
      </c>
      <c r="P761" s="20">
        <f t="shared" ca="1" si="150"/>
        <v>0</v>
      </c>
      <c r="Q761" s="20">
        <f t="shared" ca="1" si="150"/>
        <v>0</v>
      </c>
      <c r="R761" s="20">
        <f t="shared" ca="1" si="150"/>
        <v>0</v>
      </c>
      <c r="S761" s="20">
        <f t="shared" ca="1" si="150"/>
        <v>0</v>
      </c>
      <c r="U761" s="20" t="str">
        <f t="shared" si="65"/>
        <v>other</v>
      </c>
      <c r="V761" s="20" t="str">
        <f t="shared" si="66"/>
        <v>Washtenawfullservicerestaurant</v>
      </c>
    </row>
    <row r="762" spans="11:22">
      <c r="K762" s="20" t="s">
        <v>397</v>
      </c>
      <c r="L762" s="20" t="s">
        <v>449</v>
      </c>
      <c r="M762" s="20" t="s">
        <v>32</v>
      </c>
      <c r="N762" s="20">
        <f t="shared" ref="N762:S762" ca="1" si="151">SUMIF($W$3:$W$674,"="&amp;$K762&amp;$L762,N$3:N$674)</f>
        <v>0</v>
      </c>
      <c r="O762" s="20">
        <f t="shared" ca="1" si="151"/>
        <v>0</v>
      </c>
      <c r="P762" s="20">
        <f t="shared" ca="1" si="151"/>
        <v>0</v>
      </c>
      <c r="Q762" s="20">
        <f t="shared" ca="1" si="151"/>
        <v>0</v>
      </c>
      <c r="R762" s="20">
        <f t="shared" ca="1" si="151"/>
        <v>0</v>
      </c>
      <c r="S762" s="20">
        <f t="shared" ca="1" si="151"/>
        <v>0</v>
      </c>
      <c r="U762" s="20" t="str">
        <f t="shared" si="65"/>
        <v/>
      </c>
      <c r="V762" s="20" t="str">
        <f t="shared" si="66"/>
        <v>Washtenawhospital</v>
      </c>
    </row>
    <row r="763" spans="11:22">
      <c r="K763" s="20" t="s">
        <v>397</v>
      </c>
      <c r="L763" s="20" t="s">
        <v>458</v>
      </c>
      <c r="M763" s="20" t="s">
        <v>32</v>
      </c>
      <c r="N763" s="20">
        <f t="shared" ref="N763:S763" ca="1" si="152">SUMIF($W$3:$W$674,"="&amp;$K763&amp;$L763,N$3:N$674)</f>
        <v>0</v>
      </c>
      <c r="O763" s="20">
        <f t="shared" ca="1" si="152"/>
        <v>0</v>
      </c>
      <c r="P763" s="20">
        <f t="shared" ca="1" si="152"/>
        <v>0</v>
      </c>
      <c r="Q763" s="20">
        <f t="shared" ca="1" si="152"/>
        <v>0</v>
      </c>
      <c r="R763" s="20">
        <f t="shared" ca="1" si="152"/>
        <v>0</v>
      </c>
      <c r="S763" s="20">
        <f t="shared" ca="1" si="152"/>
        <v>0</v>
      </c>
      <c r="U763" s="20" t="str">
        <f t="shared" si="65"/>
        <v/>
      </c>
      <c r="V763" s="20" t="str">
        <f t="shared" si="66"/>
        <v>Washtenawlargehotel</v>
      </c>
    </row>
    <row r="764" spans="11:22">
      <c r="K764" s="20" t="s">
        <v>397</v>
      </c>
      <c r="L764" s="20" t="s">
        <v>460</v>
      </c>
      <c r="M764" s="20" t="s">
        <v>32</v>
      </c>
      <c r="N764" s="20">
        <f t="shared" ref="N764:S764" ca="1" si="153">SUMIF($W$3:$W$674,"="&amp;$K764&amp;$L764,N$3:N$674)</f>
        <v>0</v>
      </c>
      <c r="O764" s="20">
        <f t="shared" ca="1" si="153"/>
        <v>0</v>
      </c>
      <c r="P764" s="20">
        <f t="shared" ca="1" si="153"/>
        <v>0</v>
      </c>
      <c r="Q764" s="20">
        <f t="shared" ca="1" si="153"/>
        <v>0</v>
      </c>
      <c r="R764" s="20">
        <f t="shared" ca="1" si="153"/>
        <v>0</v>
      </c>
      <c r="S764" s="20">
        <f t="shared" ca="1" si="153"/>
        <v>0</v>
      </c>
      <c r="U764" s="20" t="str">
        <f t="shared" si="65"/>
        <v/>
      </c>
      <c r="V764" s="20" t="str">
        <f t="shared" si="66"/>
        <v>Washtenawlargeoffice</v>
      </c>
    </row>
    <row r="765" spans="11:22">
      <c r="K765" s="20" t="s">
        <v>397</v>
      </c>
      <c r="L765" s="20" t="s">
        <v>434</v>
      </c>
      <c r="M765" s="20" t="s">
        <v>32</v>
      </c>
      <c r="N765" s="20">
        <f t="shared" ref="N765:S765" ca="1" si="154">SUMIF($W$3:$W$674,"="&amp;$K765&amp;$L765,N$3:N$674)</f>
        <v>0</v>
      </c>
      <c r="O765" s="20">
        <f t="shared" ca="1" si="154"/>
        <v>0</v>
      </c>
      <c r="P765" s="20">
        <f t="shared" ca="1" si="154"/>
        <v>0</v>
      </c>
      <c r="Q765" s="20">
        <f t="shared" ca="1" si="154"/>
        <v>0</v>
      </c>
      <c r="R765" s="20">
        <f t="shared" ca="1" si="154"/>
        <v>0</v>
      </c>
      <c r="S765" s="20">
        <f t="shared" ca="1" si="154"/>
        <v>0</v>
      </c>
      <c r="U765" s="20" t="str">
        <f t="shared" si="65"/>
        <v>commercial_office</v>
      </c>
      <c r="V765" s="20" t="str">
        <f t="shared" si="66"/>
        <v>Washtenawmediumoffice</v>
      </c>
    </row>
    <row r="766" spans="11:22">
      <c r="K766" s="20" t="s">
        <v>397</v>
      </c>
      <c r="L766" s="20" t="s">
        <v>461</v>
      </c>
      <c r="M766" s="20" t="s">
        <v>32</v>
      </c>
      <c r="N766" s="20">
        <f t="shared" ref="N766:S766" ca="1" si="155">SUMIF($W$3:$W$674,"="&amp;$K766&amp;$L766,N$3:N$674)</f>
        <v>0</v>
      </c>
      <c r="O766" s="20">
        <f t="shared" ca="1" si="155"/>
        <v>0</v>
      </c>
      <c r="P766" s="20">
        <f t="shared" ca="1" si="155"/>
        <v>0</v>
      </c>
      <c r="Q766" s="20">
        <f t="shared" ca="1" si="155"/>
        <v>0</v>
      </c>
      <c r="R766" s="20">
        <f t="shared" ca="1" si="155"/>
        <v>0</v>
      </c>
      <c r="S766" s="20">
        <f t="shared" ca="1" si="155"/>
        <v>0</v>
      </c>
      <c r="U766" s="20" t="str">
        <f t="shared" si="65"/>
        <v/>
      </c>
      <c r="V766" s="20" t="str">
        <f t="shared" si="66"/>
        <v>Washtenawoutpatient</v>
      </c>
    </row>
    <row r="767" spans="11:22">
      <c r="K767" s="20" t="s">
        <v>397</v>
      </c>
      <c r="L767" s="20" t="s">
        <v>446</v>
      </c>
      <c r="M767" s="20" t="s">
        <v>32</v>
      </c>
      <c r="N767" s="20">
        <f t="shared" ref="N767:S767" ca="1" si="156">SUMIF($W$3:$W$674,"="&amp;$K767&amp;$L767,N$3:N$674)</f>
        <v>0</v>
      </c>
      <c r="O767" s="20">
        <f t="shared" ca="1" si="156"/>
        <v>0</v>
      </c>
      <c r="P767" s="20">
        <f t="shared" ca="1" si="156"/>
        <v>0</v>
      </c>
      <c r="Q767" s="20">
        <f t="shared" ca="1" si="156"/>
        <v>0</v>
      </c>
      <c r="R767" s="20">
        <f t="shared" ca="1" si="156"/>
        <v>0</v>
      </c>
      <c r="S767" s="20">
        <f t="shared" ca="1" si="156"/>
        <v>0</v>
      </c>
      <c r="U767" s="20" t="str">
        <f t="shared" si="65"/>
        <v>civic_education</v>
      </c>
      <c r="V767" s="20" t="str">
        <f t="shared" si="66"/>
        <v>Washtenawprimaryschool</v>
      </c>
    </row>
    <row r="768" spans="11:22">
      <c r="K768" s="20" t="s">
        <v>397</v>
      </c>
      <c r="L768" s="20" t="s">
        <v>457</v>
      </c>
      <c r="M768" s="20" t="s">
        <v>32</v>
      </c>
      <c r="N768" s="20">
        <f t="shared" ref="N768:S768" ca="1" si="157">SUMIF($W$3:$W$674,"="&amp;$K768&amp;$L768,N$3:N$674)</f>
        <v>0</v>
      </c>
      <c r="O768" s="20">
        <f t="shared" ca="1" si="157"/>
        <v>0</v>
      </c>
      <c r="P768" s="20">
        <f t="shared" ca="1" si="157"/>
        <v>0</v>
      </c>
      <c r="Q768" s="20">
        <f t="shared" ca="1" si="157"/>
        <v>0</v>
      </c>
      <c r="R768" s="20">
        <f t="shared" ca="1" si="157"/>
        <v>0</v>
      </c>
      <c r="S768" s="20">
        <f t="shared" ca="1" si="157"/>
        <v>0</v>
      </c>
      <c r="U768" s="20" t="str">
        <f t="shared" si="65"/>
        <v>unknown</v>
      </c>
      <c r="V768" s="20" t="str">
        <f t="shared" si="66"/>
        <v>Washtenawquickservicerestaurant</v>
      </c>
    </row>
    <row r="769" spans="11:22">
      <c r="K769" s="20" t="s">
        <v>397</v>
      </c>
      <c r="L769" s="20" t="s">
        <v>430</v>
      </c>
      <c r="M769" s="20" t="s">
        <v>32</v>
      </c>
      <c r="N769" s="20">
        <f t="shared" ref="N769:S769" ca="1" si="158">SUMIF($W$3:$W$674,"="&amp;$K769&amp;$L769,N$3:N$674)</f>
        <v>0</v>
      </c>
      <c r="O769" s="20">
        <f t="shared" ca="1" si="158"/>
        <v>0</v>
      </c>
      <c r="P769" s="20">
        <f t="shared" ca="1" si="158"/>
        <v>0</v>
      </c>
      <c r="Q769" s="20">
        <f t="shared" ca="1" si="158"/>
        <v>0</v>
      </c>
      <c r="R769" s="20">
        <f t="shared" ca="1" si="158"/>
        <v>0</v>
      </c>
      <c r="S769" s="20">
        <f t="shared" ca="1" si="158"/>
        <v>0</v>
      </c>
      <c r="U769" s="20" t="str">
        <f t="shared" si="65"/>
        <v>commercial_retail</v>
      </c>
      <c r="V769" s="20" t="str">
        <f t="shared" si="66"/>
        <v>Washtenawretailstandalone</v>
      </c>
    </row>
    <row r="770" spans="11:22">
      <c r="K770" s="20" t="s">
        <v>397</v>
      </c>
      <c r="L770" s="20" t="s">
        <v>462</v>
      </c>
      <c r="M770" s="20" t="s">
        <v>32</v>
      </c>
      <c r="N770" s="20">
        <f t="shared" ref="N770:S770" ca="1" si="159">SUMIF($W$3:$W$674,"="&amp;$K770&amp;$L770,N$3:N$674)</f>
        <v>0</v>
      </c>
      <c r="O770" s="20">
        <f t="shared" ca="1" si="159"/>
        <v>0</v>
      </c>
      <c r="P770" s="20">
        <f t="shared" ca="1" si="159"/>
        <v>0</v>
      </c>
      <c r="Q770" s="20">
        <f t="shared" ca="1" si="159"/>
        <v>0</v>
      </c>
      <c r="R770" s="20">
        <f t="shared" ca="1" si="159"/>
        <v>0</v>
      </c>
      <c r="S770" s="20">
        <f t="shared" ca="1" si="159"/>
        <v>0</v>
      </c>
      <c r="U770" s="20" t="str">
        <f t="shared" si="65"/>
        <v/>
      </c>
      <c r="V770" s="20" t="str">
        <f t="shared" si="66"/>
        <v>Washtenawretailstripmall</v>
      </c>
    </row>
    <row r="771" spans="11:22">
      <c r="K771" s="20" t="s">
        <v>397</v>
      </c>
      <c r="L771" s="20" t="s">
        <v>463</v>
      </c>
      <c r="M771" s="20" t="s">
        <v>32</v>
      </c>
      <c r="N771" s="20">
        <f t="shared" ref="N771:S771" ca="1" si="160">SUMIF($W$3:$W$674,"="&amp;$K771&amp;$L771,N$3:N$674)</f>
        <v>0</v>
      </c>
      <c r="O771" s="20">
        <f t="shared" ca="1" si="160"/>
        <v>0</v>
      </c>
      <c r="P771" s="20">
        <f t="shared" ca="1" si="160"/>
        <v>0</v>
      </c>
      <c r="Q771" s="20">
        <f t="shared" ca="1" si="160"/>
        <v>0</v>
      </c>
      <c r="R771" s="20">
        <f t="shared" ca="1" si="160"/>
        <v>0</v>
      </c>
      <c r="S771" s="20">
        <f t="shared" ca="1" si="160"/>
        <v>0</v>
      </c>
      <c r="U771" s="20" t="str">
        <f t="shared" si="65"/>
        <v/>
      </c>
      <c r="V771" s="20" t="str">
        <f t="shared" si="66"/>
        <v>Washtenawsecondaryschool</v>
      </c>
    </row>
    <row r="772" spans="11:22">
      <c r="K772" s="20" t="s">
        <v>397</v>
      </c>
      <c r="L772" s="20" t="s">
        <v>438</v>
      </c>
      <c r="M772" s="20" t="s">
        <v>32</v>
      </c>
      <c r="N772" s="20">
        <f t="shared" ref="N772:S772" ca="1" si="161">SUMIF($W$3:$W$674,"="&amp;$K772&amp;$L772,N$3:N$674)</f>
        <v>0</v>
      </c>
      <c r="O772" s="20">
        <f t="shared" ca="1" si="161"/>
        <v>0</v>
      </c>
      <c r="P772" s="20">
        <f t="shared" ca="1" si="161"/>
        <v>0</v>
      </c>
      <c r="Q772" s="20">
        <f t="shared" ca="1" si="161"/>
        <v>0</v>
      </c>
      <c r="R772" s="20">
        <f t="shared" ca="1" si="161"/>
        <v>0</v>
      </c>
      <c r="S772" s="20">
        <f t="shared" ca="1" si="161"/>
        <v>0</v>
      </c>
      <c r="U772" s="20" t="str">
        <f t="shared" si="65"/>
        <v>commercial_non_retail_attraction</v>
      </c>
      <c r="V772" s="20" t="str">
        <f t="shared" si="66"/>
        <v>Washtenawsmallhotel</v>
      </c>
    </row>
    <row r="773" spans="11:22">
      <c r="K773" s="20" t="s">
        <v>397</v>
      </c>
      <c r="L773" s="20" t="s">
        <v>464</v>
      </c>
      <c r="M773" s="20" t="s">
        <v>32</v>
      </c>
      <c r="N773" s="20">
        <f t="shared" ref="N773:S773" ca="1" si="162">SUMIF($W$3:$W$674,"="&amp;$K773&amp;$L773,N$3:N$674)</f>
        <v>0</v>
      </c>
      <c r="O773" s="20">
        <f t="shared" ca="1" si="162"/>
        <v>0</v>
      </c>
      <c r="P773" s="20">
        <f t="shared" ca="1" si="162"/>
        <v>0</v>
      </c>
      <c r="Q773" s="20">
        <f t="shared" ca="1" si="162"/>
        <v>0</v>
      </c>
      <c r="R773" s="20">
        <f t="shared" ca="1" si="162"/>
        <v>0</v>
      </c>
      <c r="S773" s="20">
        <f t="shared" ca="1" si="162"/>
        <v>0</v>
      </c>
      <c r="U773" s="20" t="str">
        <f t="shared" si="65"/>
        <v/>
      </c>
      <c r="V773" s="20" t="str">
        <f t="shared" si="66"/>
        <v>Washtenawsmalloffice</v>
      </c>
    </row>
    <row r="774" spans="11:22">
      <c r="K774" s="20" t="s">
        <v>397</v>
      </c>
      <c r="L774" s="20" t="s">
        <v>452</v>
      </c>
      <c r="M774" s="20" t="s">
        <v>32</v>
      </c>
      <c r="N774" s="20">
        <f t="shared" ref="N774:S774" ca="1" si="163">SUMIF($W$3:$W$674,"="&amp;$K774&amp;$L774,N$3:N$674)</f>
        <v>0</v>
      </c>
      <c r="O774" s="20">
        <f t="shared" ca="1" si="163"/>
        <v>0</v>
      </c>
      <c r="P774" s="20">
        <f t="shared" ca="1" si="163"/>
        <v>0</v>
      </c>
      <c r="Q774" s="20">
        <f t="shared" ca="1" si="163"/>
        <v>0</v>
      </c>
      <c r="R774" s="20">
        <f t="shared" ca="1" si="163"/>
        <v>0</v>
      </c>
      <c r="S774" s="20">
        <f t="shared" ca="1" si="163"/>
        <v>0</v>
      </c>
      <c r="U774" s="20" t="str">
        <f t="shared" si="65"/>
        <v>transportation_utilities</v>
      </c>
      <c r="V774" s="20" t="str">
        <f t="shared" si="66"/>
        <v>Washtenawwarehouse</v>
      </c>
    </row>
    <row r="775" spans="11:22">
      <c r="K775" s="20" t="s">
        <v>398</v>
      </c>
      <c r="L775" s="20" t="s">
        <v>428</v>
      </c>
      <c r="M775" s="20" t="s">
        <v>32</v>
      </c>
      <c r="N775" s="20">
        <f t="shared" ref="N775:S775" ca="1" si="164">SUMIF($W$3:$W$674,"="&amp;$K775&amp;$L775,N$3:N$674)</f>
        <v>0</v>
      </c>
      <c r="O775" s="20">
        <f t="shared" ca="1" si="164"/>
        <v>0</v>
      </c>
      <c r="P775" s="20">
        <f t="shared" ca="1" si="164"/>
        <v>0</v>
      </c>
      <c r="Q775" s="20">
        <f t="shared" ca="1" si="164"/>
        <v>0</v>
      </c>
      <c r="R775" s="20">
        <f t="shared" ca="1" si="164"/>
        <v>0</v>
      </c>
      <c r="S775" s="20">
        <f t="shared" ca="1" si="164"/>
        <v>0</v>
      </c>
      <c r="U775" s="20" t="str">
        <f t="shared" si="65"/>
        <v>other</v>
      </c>
      <c r="V775" s="20" t="str">
        <f t="shared" si="66"/>
        <v>Waynefullservicerestaurant</v>
      </c>
    </row>
    <row r="776" spans="11:22">
      <c r="K776" s="20" t="s">
        <v>398</v>
      </c>
      <c r="L776" s="20" t="s">
        <v>449</v>
      </c>
      <c r="M776" s="20" t="s">
        <v>32</v>
      </c>
      <c r="N776" s="20">
        <f t="shared" ref="N776:S776" ca="1" si="165">SUMIF($W$3:$W$674,"="&amp;$K776&amp;$L776,N$3:N$674)</f>
        <v>0</v>
      </c>
      <c r="O776" s="20">
        <f t="shared" ca="1" si="165"/>
        <v>0</v>
      </c>
      <c r="P776" s="20">
        <f t="shared" ca="1" si="165"/>
        <v>0</v>
      </c>
      <c r="Q776" s="20">
        <f t="shared" ca="1" si="165"/>
        <v>0</v>
      </c>
      <c r="R776" s="20">
        <f t="shared" ca="1" si="165"/>
        <v>0</v>
      </c>
      <c r="S776" s="20">
        <f t="shared" ca="1" si="165"/>
        <v>0</v>
      </c>
      <c r="U776" s="20" t="str">
        <f t="shared" si="65"/>
        <v/>
      </c>
      <c r="V776" s="20" t="str">
        <f t="shared" si="66"/>
        <v>Waynehospital</v>
      </c>
    </row>
    <row r="777" spans="11:22">
      <c r="K777" s="20" t="s">
        <v>398</v>
      </c>
      <c r="L777" s="20" t="s">
        <v>458</v>
      </c>
      <c r="M777" s="20" t="s">
        <v>32</v>
      </c>
      <c r="N777" s="20">
        <f t="shared" ref="N777:S777" ca="1" si="166">SUMIF($W$3:$W$674,"="&amp;$K777&amp;$L777,N$3:N$674)</f>
        <v>0</v>
      </c>
      <c r="O777" s="20">
        <f t="shared" ca="1" si="166"/>
        <v>0</v>
      </c>
      <c r="P777" s="20">
        <f t="shared" ca="1" si="166"/>
        <v>0</v>
      </c>
      <c r="Q777" s="20">
        <f t="shared" ca="1" si="166"/>
        <v>0</v>
      </c>
      <c r="R777" s="20">
        <f t="shared" ca="1" si="166"/>
        <v>0</v>
      </c>
      <c r="S777" s="20">
        <f t="shared" ca="1" si="166"/>
        <v>0</v>
      </c>
      <c r="U777" s="20" t="str">
        <f t="shared" si="65"/>
        <v/>
      </c>
      <c r="V777" s="20" t="str">
        <f t="shared" si="66"/>
        <v>Waynelargehotel</v>
      </c>
    </row>
    <row r="778" spans="11:22">
      <c r="K778" s="20" t="s">
        <v>398</v>
      </c>
      <c r="L778" s="20" t="s">
        <v>460</v>
      </c>
      <c r="M778" s="20" t="s">
        <v>32</v>
      </c>
      <c r="N778" s="20">
        <f t="shared" ref="N778:S778" ca="1" si="167">SUMIF($W$3:$W$674,"="&amp;$K778&amp;$L778,N$3:N$674)</f>
        <v>0</v>
      </c>
      <c r="O778" s="20">
        <f t="shared" ca="1" si="167"/>
        <v>0</v>
      </c>
      <c r="P778" s="20">
        <f t="shared" ca="1" si="167"/>
        <v>0</v>
      </c>
      <c r="Q778" s="20">
        <f t="shared" ca="1" si="167"/>
        <v>0</v>
      </c>
      <c r="R778" s="20">
        <f t="shared" ca="1" si="167"/>
        <v>0</v>
      </c>
      <c r="S778" s="20">
        <f t="shared" ca="1" si="167"/>
        <v>0</v>
      </c>
      <c r="U778" s="20" t="str">
        <f t="shared" si="65"/>
        <v/>
      </c>
      <c r="V778" s="20" t="str">
        <f t="shared" si="66"/>
        <v>Waynelargeoffice</v>
      </c>
    </row>
    <row r="779" spans="11:22">
      <c r="K779" s="20" t="s">
        <v>398</v>
      </c>
      <c r="L779" s="20" t="s">
        <v>434</v>
      </c>
      <c r="M779" s="20" t="s">
        <v>32</v>
      </c>
      <c r="N779" s="20">
        <f t="shared" ref="N779:S779" ca="1" si="168">SUMIF($W$3:$W$674,"="&amp;$K779&amp;$L779,N$3:N$674)</f>
        <v>0</v>
      </c>
      <c r="O779" s="20">
        <f t="shared" ca="1" si="168"/>
        <v>0</v>
      </c>
      <c r="P779" s="20">
        <f t="shared" ca="1" si="168"/>
        <v>0</v>
      </c>
      <c r="Q779" s="20">
        <f t="shared" ca="1" si="168"/>
        <v>0</v>
      </c>
      <c r="R779" s="20">
        <f t="shared" ca="1" si="168"/>
        <v>0</v>
      </c>
      <c r="S779" s="20">
        <f t="shared" ca="1" si="168"/>
        <v>0</v>
      </c>
      <c r="U779" s="20" t="str">
        <f t="shared" si="65"/>
        <v>commercial_office</v>
      </c>
      <c r="V779" s="20" t="str">
        <f t="shared" si="66"/>
        <v>Waynemediumoffice</v>
      </c>
    </row>
    <row r="780" spans="11:22">
      <c r="K780" s="20" t="s">
        <v>398</v>
      </c>
      <c r="L780" s="20" t="s">
        <v>461</v>
      </c>
      <c r="M780" s="20" t="s">
        <v>32</v>
      </c>
      <c r="N780" s="20">
        <f t="shared" ref="N780:S780" ca="1" si="169">SUMIF($W$3:$W$674,"="&amp;$K780&amp;$L780,N$3:N$674)</f>
        <v>0</v>
      </c>
      <c r="O780" s="20">
        <f t="shared" ca="1" si="169"/>
        <v>0</v>
      </c>
      <c r="P780" s="20">
        <f t="shared" ca="1" si="169"/>
        <v>0</v>
      </c>
      <c r="Q780" s="20">
        <f t="shared" ca="1" si="169"/>
        <v>0</v>
      </c>
      <c r="R780" s="20">
        <f t="shared" ca="1" si="169"/>
        <v>0</v>
      </c>
      <c r="S780" s="20">
        <f t="shared" ca="1" si="169"/>
        <v>0</v>
      </c>
      <c r="U780" s="20" t="str">
        <f t="shared" si="65"/>
        <v/>
      </c>
      <c r="V780" s="20" t="str">
        <f t="shared" si="66"/>
        <v>Wayneoutpatient</v>
      </c>
    </row>
    <row r="781" spans="11:22">
      <c r="K781" s="20" t="s">
        <v>398</v>
      </c>
      <c r="L781" s="20" t="s">
        <v>446</v>
      </c>
      <c r="M781" s="20" t="s">
        <v>32</v>
      </c>
      <c r="N781" s="20">
        <f t="shared" ref="N781:S781" ca="1" si="170">SUMIF($W$3:$W$674,"="&amp;$K781&amp;$L781,N$3:N$674)</f>
        <v>0</v>
      </c>
      <c r="O781" s="20">
        <f t="shared" ca="1" si="170"/>
        <v>0</v>
      </c>
      <c r="P781" s="20">
        <f t="shared" ca="1" si="170"/>
        <v>0</v>
      </c>
      <c r="Q781" s="20">
        <f t="shared" ca="1" si="170"/>
        <v>0</v>
      </c>
      <c r="R781" s="20">
        <f t="shared" ca="1" si="170"/>
        <v>0</v>
      </c>
      <c r="S781" s="20">
        <f t="shared" ca="1" si="170"/>
        <v>0</v>
      </c>
      <c r="U781" s="20" t="str">
        <f t="shared" si="65"/>
        <v>civic_education</v>
      </c>
      <c r="V781" s="20" t="str">
        <f t="shared" si="66"/>
        <v>Wayneprimaryschool</v>
      </c>
    </row>
    <row r="782" spans="11:22">
      <c r="K782" s="20" t="s">
        <v>398</v>
      </c>
      <c r="L782" s="20" t="s">
        <v>457</v>
      </c>
      <c r="M782" s="20" t="s">
        <v>32</v>
      </c>
      <c r="N782" s="20">
        <f t="shared" ref="N782:S782" ca="1" si="171">SUMIF($W$3:$W$674,"="&amp;$K782&amp;$L782,N$3:N$674)</f>
        <v>0</v>
      </c>
      <c r="O782" s="20">
        <f t="shared" ca="1" si="171"/>
        <v>0</v>
      </c>
      <c r="P782" s="20">
        <f t="shared" ca="1" si="171"/>
        <v>0</v>
      </c>
      <c r="Q782" s="20">
        <f t="shared" ca="1" si="171"/>
        <v>0</v>
      </c>
      <c r="R782" s="20">
        <f t="shared" ca="1" si="171"/>
        <v>0</v>
      </c>
      <c r="S782" s="20">
        <f t="shared" ca="1" si="171"/>
        <v>0</v>
      </c>
      <c r="U782" s="20" t="str">
        <f t="shared" si="65"/>
        <v>unknown</v>
      </c>
      <c r="V782" s="20" t="str">
        <f t="shared" si="66"/>
        <v>Waynequickservicerestaurant</v>
      </c>
    </row>
    <row r="783" spans="11:22">
      <c r="K783" s="20" t="s">
        <v>398</v>
      </c>
      <c r="L783" s="20" t="s">
        <v>430</v>
      </c>
      <c r="M783" s="20" t="s">
        <v>32</v>
      </c>
      <c r="N783" s="20">
        <f t="shared" ref="N783:S783" ca="1" si="172">SUMIF($W$3:$W$674,"="&amp;$K783&amp;$L783,N$3:N$674)</f>
        <v>0</v>
      </c>
      <c r="O783" s="20">
        <f t="shared" ca="1" si="172"/>
        <v>0</v>
      </c>
      <c r="P783" s="20">
        <f t="shared" ca="1" si="172"/>
        <v>0</v>
      </c>
      <c r="Q783" s="20">
        <f t="shared" ca="1" si="172"/>
        <v>0</v>
      </c>
      <c r="R783" s="20">
        <f t="shared" ca="1" si="172"/>
        <v>0</v>
      </c>
      <c r="S783" s="20">
        <f t="shared" ca="1" si="172"/>
        <v>0</v>
      </c>
      <c r="U783" s="20" t="str">
        <f t="shared" si="65"/>
        <v>commercial_retail</v>
      </c>
      <c r="V783" s="20" t="str">
        <f t="shared" si="66"/>
        <v>Wayneretailstandalone</v>
      </c>
    </row>
    <row r="784" spans="11:22">
      <c r="K784" s="20" t="s">
        <v>398</v>
      </c>
      <c r="L784" s="20" t="s">
        <v>462</v>
      </c>
      <c r="M784" s="20" t="s">
        <v>32</v>
      </c>
      <c r="N784" s="20">
        <f t="shared" ref="N784:S784" ca="1" si="173">SUMIF($W$3:$W$674,"="&amp;$K784&amp;$L784,N$3:N$674)</f>
        <v>0</v>
      </c>
      <c r="O784" s="20">
        <f t="shared" ca="1" si="173"/>
        <v>0</v>
      </c>
      <c r="P784" s="20">
        <f t="shared" ca="1" si="173"/>
        <v>0</v>
      </c>
      <c r="Q784" s="20">
        <f t="shared" ca="1" si="173"/>
        <v>0</v>
      </c>
      <c r="R784" s="20">
        <f t="shared" ca="1" si="173"/>
        <v>0</v>
      </c>
      <c r="S784" s="20">
        <f t="shared" ca="1" si="173"/>
        <v>0</v>
      </c>
      <c r="U784" s="20" t="str">
        <f t="shared" si="65"/>
        <v/>
      </c>
      <c r="V784" s="20" t="str">
        <f t="shared" si="66"/>
        <v>Wayneretailstripmall</v>
      </c>
    </row>
    <row r="785" spans="11:22">
      <c r="K785" s="20" t="s">
        <v>398</v>
      </c>
      <c r="L785" s="20" t="s">
        <v>463</v>
      </c>
      <c r="M785" s="20" t="s">
        <v>32</v>
      </c>
      <c r="N785" s="20">
        <f t="shared" ref="N785:S785" ca="1" si="174">SUMIF($W$3:$W$674,"="&amp;$K785&amp;$L785,N$3:N$674)</f>
        <v>0</v>
      </c>
      <c r="O785" s="20">
        <f t="shared" ca="1" si="174"/>
        <v>0</v>
      </c>
      <c r="P785" s="20">
        <f t="shared" ca="1" si="174"/>
        <v>0</v>
      </c>
      <c r="Q785" s="20">
        <f t="shared" ca="1" si="174"/>
        <v>0</v>
      </c>
      <c r="R785" s="20">
        <f t="shared" ca="1" si="174"/>
        <v>0</v>
      </c>
      <c r="S785" s="20">
        <f t="shared" ca="1" si="174"/>
        <v>0</v>
      </c>
      <c r="U785" s="20" t="str">
        <f t="shared" si="65"/>
        <v/>
      </c>
      <c r="V785" s="20" t="str">
        <f t="shared" si="66"/>
        <v>Waynesecondaryschool</v>
      </c>
    </row>
    <row r="786" spans="11:22">
      <c r="K786" s="20" t="s">
        <v>398</v>
      </c>
      <c r="L786" s="20" t="s">
        <v>438</v>
      </c>
      <c r="M786" s="20" t="s">
        <v>32</v>
      </c>
      <c r="N786" s="20">
        <f t="shared" ref="N786:S786" ca="1" si="175">SUMIF($W$3:$W$674,"="&amp;$K786&amp;$L786,N$3:N$674)</f>
        <v>0</v>
      </c>
      <c r="O786" s="20">
        <f t="shared" ca="1" si="175"/>
        <v>0</v>
      </c>
      <c r="P786" s="20">
        <f t="shared" ca="1" si="175"/>
        <v>0</v>
      </c>
      <c r="Q786" s="20">
        <f t="shared" ca="1" si="175"/>
        <v>0</v>
      </c>
      <c r="R786" s="20">
        <f t="shared" ca="1" si="175"/>
        <v>0</v>
      </c>
      <c r="S786" s="20">
        <f t="shared" ca="1" si="175"/>
        <v>0</v>
      </c>
      <c r="U786" s="20" t="str">
        <f t="shared" si="65"/>
        <v>commercial_non_retail_attraction</v>
      </c>
      <c r="V786" s="20" t="str">
        <f t="shared" si="66"/>
        <v>Waynesmallhotel</v>
      </c>
    </row>
    <row r="787" spans="11:22">
      <c r="K787" s="20" t="s">
        <v>398</v>
      </c>
      <c r="L787" s="20" t="s">
        <v>464</v>
      </c>
      <c r="M787" s="20" t="s">
        <v>32</v>
      </c>
      <c r="N787" s="20">
        <f t="shared" ref="N787:S787" ca="1" si="176">SUMIF($W$3:$W$674,"="&amp;$K787&amp;$L787,N$3:N$674)</f>
        <v>0</v>
      </c>
      <c r="O787" s="20">
        <f t="shared" ca="1" si="176"/>
        <v>0</v>
      </c>
      <c r="P787" s="20">
        <f t="shared" ca="1" si="176"/>
        <v>0</v>
      </c>
      <c r="Q787" s="20">
        <f t="shared" ca="1" si="176"/>
        <v>0</v>
      </c>
      <c r="R787" s="20">
        <f t="shared" ca="1" si="176"/>
        <v>0</v>
      </c>
      <c r="S787" s="20">
        <f t="shared" ca="1" si="176"/>
        <v>0</v>
      </c>
      <c r="U787" s="20" t="str">
        <f t="shared" si="65"/>
        <v/>
      </c>
      <c r="V787" s="20" t="str">
        <f t="shared" si="66"/>
        <v>Waynesmalloffice</v>
      </c>
    </row>
    <row r="788" spans="11:22">
      <c r="K788" s="20" t="s">
        <v>398</v>
      </c>
      <c r="L788" s="20" t="s">
        <v>452</v>
      </c>
      <c r="M788" s="20" t="s">
        <v>32</v>
      </c>
      <c r="N788" s="20">
        <f t="shared" ref="N788:S788" ca="1" si="177">SUMIF($W$3:$W$674,"="&amp;$K788&amp;$L788,N$3:N$674)</f>
        <v>0</v>
      </c>
      <c r="O788" s="20">
        <f t="shared" ca="1" si="177"/>
        <v>0</v>
      </c>
      <c r="P788" s="20">
        <f t="shared" ca="1" si="177"/>
        <v>0</v>
      </c>
      <c r="Q788" s="20">
        <f t="shared" ca="1" si="177"/>
        <v>0</v>
      </c>
      <c r="R788" s="20">
        <f t="shared" ca="1" si="177"/>
        <v>0</v>
      </c>
      <c r="S788" s="20">
        <f t="shared" ca="1" si="177"/>
        <v>0</v>
      </c>
      <c r="U788" s="20" t="str">
        <f t="shared" si="65"/>
        <v>transportation_utilities</v>
      </c>
      <c r="V788" s="20" t="str">
        <f t="shared" si="66"/>
        <v>Waynewarehouse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0.59999389629810485"/>
    <outlinePr summaryBelow="0" summaryRight="0"/>
  </sheetPr>
  <dimension ref="B1:AB951"/>
  <sheetViews>
    <sheetView workbookViewId="0">
      <pane xSplit="4" ySplit="2" topLeftCell="E3" activePane="bottomRight" state="frozen"/>
      <selection pane="topRight"/>
      <selection pane="bottomLeft"/>
      <selection pane="bottomRight"/>
    </sheetView>
  </sheetViews>
  <sheetFormatPr defaultColWidth="12.5546875" defaultRowHeight="15.75" customHeight="1"/>
  <cols>
    <col min="1" max="1" width="6.109375" customWidth="1"/>
    <col min="3" max="3" width="19.44140625" customWidth="1"/>
    <col min="4" max="4" width="22" customWidth="1"/>
    <col min="10" max="11" width="7.44140625" customWidth="1"/>
    <col min="12" max="12" width="20.88671875" customWidth="1"/>
    <col min="16" max="16" width="16.33203125" customWidth="1"/>
    <col min="19" max="19" width="9.5546875" customWidth="1"/>
  </cols>
  <sheetData>
    <row r="1" spans="2:28">
      <c r="E1" s="20" t="s">
        <v>465</v>
      </c>
      <c r="F1" s="20"/>
      <c r="H1" s="20" t="s">
        <v>400</v>
      </c>
      <c r="I1" s="20" t="s">
        <v>400</v>
      </c>
      <c r="S1" s="113"/>
      <c r="T1" s="113"/>
      <c r="U1" s="20" t="s">
        <v>400</v>
      </c>
      <c r="V1" s="20" t="s">
        <v>400</v>
      </c>
      <c r="W1" s="20"/>
      <c r="X1" s="20" t="s">
        <v>401</v>
      </c>
      <c r="AA1" s="20" t="s">
        <v>402</v>
      </c>
    </row>
    <row r="2" spans="2:28">
      <c r="B2" s="20" t="s">
        <v>27</v>
      </c>
      <c r="C2" s="20" t="s">
        <v>403</v>
      </c>
      <c r="D2" s="20" t="s">
        <v>404</v>
      </c>
      <c r="E2" s="20" t="s">
        <v>283</v>
      </c>
      <c r="F2" s="20" t="s">
        <v>363</v>
      </c>
      <c r="G2" s="20" t="s">
        <v>466</v>
      </c>
      <c r="H2" s="20" t="s">
        <v>0</v>
      </c>
      <c r="I2" s="20" t="s">
        <v>14</v>
      </c>
      <c r="M2" s="20" t="s">
        <v>0</v>
      </c>
      <c r="N2" s="20" t="s">
        <v>14</v>
      </c>
      <c r="O2" s="20" t="s">
        <v>32</v>
      </c>
      <c r="S2" s="114"/>
      <c r="T2" s="20" t="s">
        <v>467</v>
      </c>
      <c r="U2" s="20" t="s">
        <v>0</v>
      </c>
      <c r="V2" s="20" t="s">
        <v>14</v>
      </c>
      <c r="W2" s="20"/>
      <c r="X2" s="20" t="s">
        <v>283</v>
      </c>
      <c r="Y2" s="20" t="s">
        <v>363</v>
      </c>
      <c r="AA2" s="20" t="s">
        <v>283</v>
      </c>
      <c r="AB2" s="20" t="s">
        <v>363</v>
      </c>
    </row>
    <row r="3" spans="2:28">
      <c r="B3" s="20" t="s">
        <v>5</v>
      </c>
      <c r="C3" s="20" t="s">
        <v>428</v>
      </c>
      <c r="D3" s="20" t="s">
        <v>429</v>
      </c>
      <c r="E3" s="55">
        <f t="shared" ref="E3:E254" ca="1" si="0">IFERROR($H3*AA3/G3,0)</f>
        <v>1.0121189177958637E-2</v>
      </c>
      <c r="F3" s="55">
        <f t="shared" ref="F3:F254" ca="1" si="1">IFERROR(AB3*$I3/G3,0)</f>
        <v>2.0192554094828938E-2</v>
      </c>
      <c r="G3" s="21">
        <f ca="1">IFERROR(SUMIF('nres bld data'!$A$3:$A$38,B3&amp;C3,'nres bld data'!$D$3:$D$38),0)</f>
        <v>61962</v>
      </c>
      <c r="H3" s="21">
        <f t="shared" ref="H3:I3" ca="1" si="2">$T3*U3</f>
        <v>2081.3215513655764</v>
      </c>
      <c r="I3" s="21">
        <f t="shared" ca="1" si="2"/>
        <v>2505.4517030573511</v>
      </c>
      <c r="J3" s="119"/>
      <c r="K3" s="21"/>
      <c r="L3" s="20" t="s">
        <v>407</v>
      </c>
      <c r="M3" s="21">
        <f t="shared" ref="M3:N3" ca="1" si="3">H3+H9+H15+H21+H27+H33+H39+H45+H51+H57+H63+H69+H75+H81+H87+H93+H99+H105+H111+H117+H123+H129+H135+H141+H147+H153+H159+H165+H171+H177+H183+H189+H195+H201+H207+H213+H219+H227+H231+H237++H243+H249</f>
        <v>11551480.979267821</v>
      </c>
      <c r="N3" s="21">
        <f t="shared" ca="1" si="3"/>
        <v>13071843.354</v>
      </c>
      <c r="O3" s="21">
        <f t="shared" ref="O3:O4" ca="1" si="4">M3+N3</f>
        <v>24623324.333267823</v>
      </c>
      <c r="Q3" s="20">
        <v>1.0379998900047516</v>
      </c>
      <c r="R3" s="20" t="s">
        <v>408</v>
      </c>
      <c r="S3" s="116">
        <f ca="1">T3+T9+T15+T21+T27+T33+T39++T45+T51+T57+T63+T69+T75+T81</f>
        <v>0.99999999999999989</v>
      </c>
      <c r="T3" s="22">
        <f ca="1">G3/SUMIF('nres bld data'!$B$3:$B$38,$B3,'nres bld data'!$D$3:$D$38)</f>
        <v>1.1636674556851105E-3</v>
      </c>
      <c r="U3" s="21">
        <f>SUMIFS('Projections by County'!$D$10:$D$36,'Projections by County'!$A$10:$A$36,$B3,'Projections by County'!$C$10:$C$36,"Electricity (kWh)",'Projections by County'!$B$10:$B$36,"Commercial")*BTU_per_kWh/1000000</f>
        <v>1788587.91761964</v>
      </c>
      <c r="V3" s="21">
        <f>SUMIFS('Projections by County'!$D$10:$D$36,'Projections by County'!$A$10:$A$36,$B3,'Projections by County'!$C$10:$C$36,"Natural Gas",'Projections by County'!$B$10:$B$36,"Commercial")</f>
        <v>2153065.0279999999</v>
      </c>
      <c r="W3" s="20"/>
      <c r="X3" s="116">
        <f>IFERROR(SUMIF('nres bld data'!$V$3:$V$254,"="&amp;$B3&amp;$C3&amp;$D3,'nres bld data'!P$3:P$254)/SUMIF('nres bld data'!$V$3:$V$254,"="&amp;$B3&amp;$C3&amp;$D3,'nres bld data'!$T$3:$T$254),0)</f>
        <v>0.26980027380091981</v>
      </c>
      <c r="Y3" s="116">
        <f>IFERROR(SUMIF('nres bld data'!$V$3:$V$254,"="&amp;$B3&amp;$C3&amp;$D3,'nres bld data'!Q$3:Q$254)/SUMIF('nres bld data'!$V$3:$V$254,"="&amp;$B3&amp;$C3&amp;$D3,'nres bld data'!$T$3:$T$254),0)</f>
        <v>0.73019972619908013</v>
      </c>
      <c r="AA3" s="116">
        <f ca="1">IFERROR(SUMIF('nres bld data'!$V$3:$V$254,"="&amp;$B3&amp;$C3&amp;$D3,'nres bld data'!P$3:P$254)/SUMIF('nres bld data'!$W$256:$W$297,"="&amp;$B3&amp;$C3,'nres bld data'!P$256:P$297),0)</f>
        <v>0.30131294390009422</v>
      </c>
      <c r="AB3" s="116">
        <f ca="1">IFERROR(SUMIF('nres bld data'!$V$3:$V$254,"="&amp;$B3&amp;$C3&amp;$D3,'nres bld data'!Q$3:Q$254)/SUMIF('nres bld data'!$W$256:$W$297,"="&amp;$B3&amp;$C3,'nres bld data'!Q$256:Q$297),0)</f>
        <v>0.49937942738908614</v>
      </c>
    </row>
    <row r="4" spans="2:28">
      <c r="B4" s="20" t="s">
        <v>5</v>
      </c>
      <c r="C4" s="20" t="s">
        <v>428</v>
      </c>
      <c r="D4" s="20" t="s">
        <v>433</v>
      </c>
      <c r="E4" s="55">
        <f t="shared" ca="1" si="0"/>
        <v>8.6774019198583956E-3</v>
      </c>
      <c r="F4" s="55">
        <f t="shared" ca="1" si="1"/>
        <v>0</v>
      </c>
      <c r="G4" s="21">
        <f ca="1">IFERROR(SUMIF('nres bld data'!$A$3:$A$38,B4&amp;C4,'nres bld data'!$D$3:$D$38),0)</f>
        <v>61962</v>
      </c>
      <c r="H4" s="21">
        <f t="shared" ref="H4:I4" ca="1" si="5">$T4*U4</f>
        <v>2081.3215513655764</v>
      </c>
      <c r="I4" s="21">
        <f t="shared" ca="1" si="5"/>
        <v>2505.4517030573511</v>
      </c>
      <c r="J4" s="119"/>
      <c r="K4" s="21"/>
      <c r="L4" s="20" t="s">
        <v>409</v>
      </c>
      <c r="M4" s="21">
        <f ca="1">M3/Q4/1000*Q5/Q6/1000</f>
        <v>1616463.5918810177</v>
      </c>
      <c r="N4" s="21">
        <f ca="1">N3*'Emissions Factors'!E52</f>
        <v>693831.2230966182</v>
      </c>
      <c r="O4" s="21">
        <f t="shared" ca="1" si="4"/>
        <v>2310294.8149776356</v>
      </c>
      <c r="Q4" s="20">
        <v>3.4120000000000001E-3</v>
      </c>
      <c r="R4" s="20" t="s">
        <v>410</v>
      </c>
      <c r="S4" s="115"/>
      <c r="T4" s="22">
        <f ca="1">G4/SUMIF('nres bld data'!$B$3:$B$38,$B4,'nres bld data'!$D$3:$D$38)</f>
        <v>1.1636674556851105E-3</v>
      </c>
      <c r="U4" s="21">
        <f>SUMIFS('Projections by County'!$D$10:$D$36,'Projections by County'!$A$10:$A$36,$B4,'Projections by County'!$C$10:$C$36,"Electricity (kWh)",'Projections by County'!$B$10:$B$36,"Commercial")*BTU_per_kWh/1000000</f>
        <v>1788587.91761964</v>
      </c>
      <c r="V4" s="21">
        <f>SUMIFS('Projections by County'!$D$10:$D$36,'Projections by County'!$A$10:$A$36,$B4,'Projections by County'!$C$10:$C$36,"Natural Gas",'Projections by County'!$B$10:$B$36,"Commercial")</f>
        <v>2153065.0279999999</v>
      </c>
      <c r="W4" s="116"/>
      <c r="X4" s="116">
        <f>IFERROR(SUMIF('nres bld data'!$V$3:$V$254,"="&amp;$B4&amp;$C4&amp;$D4,'nres bld data'!P$3:P$254)/SUMIF('nres bld data'!$V$3:$V$254,"="&amp;$B4&amp;$C4&amp;$D4,'nres bld data'!$T$3:$T$254),0)</f>
        <v>1</v>
      </c>
      <c r="Y4" s="116">
        <f>IFERROR(SUMIF('nres bld data'!$V$3:$V$254,"="&amp;$B4&amp;$C4&amp;$D4,'nres bld data'!Q$3:Q$254)/SUMIF('nres bld data'!$V$3:$V$254,"="&amp;$B4&amp;$C4&amp;$D4,'nres bld data'!$T$3:$T$254),0)</f>
        <v>0</v>
      </c>
      <c r="AA4" s="116">
        <f ca="1">IFERROR(SUMIF('nres bld data'!$V$3:$V$254,"="&amp;$B4&amp;$C4&amp;$D4,'nres bld data'!P$3:P$254)/SUMIF('nres bld data'!$W$256:$W$297,"="&amp;$B4&amp;$C4,'nres bld data'!P$256:P$297),0)</f>
        <v>0.25833066371003349</v>
      </c>
      <c r="AB4" s="116">
        <f ca="1">IFERROR(SUMIF('nres bld data'!$V$3:$V$254,"="&amp;$B4&amp;$C4&amp;$D4,'nres bld data'!Q$3:Q$254)/SUMIF('nres bld data'!$W$256:$W$297,"="&amp;$B4&amp;$C4,'nres bld data'!Q$256:Q$297),0)</f>
        <v>0</v>
      </c>
    </row>
    <row r="5" spans="2:28">
      <c r="B5" s="20" t="s">
        <v>5</v>
      </c>
      <c r="C5" s="20" t="s">
        <v>428</v>
      </c>
      <c r="D5" s="20" t="s">
        <v>437</v>
      </c>
      <c r="E5" s="55">
        <f t="shared" ca="1" si="0"/>
        <v>3.895178455226364E-3</v>
      </c>
      <c r="F5" s="55">
        <f t="shared" ca="1" si="1"/>
        <v>0</v>
      </c>
      <c r="G5" s="21">
        <f ca="1">IFERROR(SUMIF('nres bld data'!$A$3:$A$38,B5&amp;C5,'nres bld data'!$D$3:$D$38),0)</f>
        <v>61962</v>
      </c>
      <c r="H5" s="21">
        <f t="shared" ref="H5:I5" ca="1" si="6">$T5*U5</f>
        <v>2081.3215513655764</v>
      </c>
      <c r="I5" s="21">
        <f t="shared" ca="1" si="6"/>
        <v>2505.4517030573511</v>
      </c>
      <c r="J5" s="21"/>
      <c r="K5" s="21"/>
      <c r="L5" s="20" t="s">
        <v>411</v>
      </c>
      <c r="Q5" s="25">
        <v>1052.8</v>
      </c>
      <c r="R5" s="20" t="s">
        <v>153</v>
      </c>
      <c r="S5" s="115"/>
      <c r="T5" s="22">
        <f ca="1">G5/SUMIF('nres bld data'!$B$3:$B$38,$B5,'nres bld data'!$D$3:$D$38)</f>
        <v>1.1636674556851105E-3</v>
      </c>
      <c r="U5" s="21">
        <f>SUMIFS('Projections by County'!$D$10:$D$36,'Projections by County'!$A$10:$A$36,$B5,'Projections by County'!$C$10:$C$36,"Electricity (kWh)",'Projections by County'!$B$10:$B$36,"Commercial")*BTU_per_kWh/1000000</f>
        <v>1788587.91761964</v>
      </c>
      <c r="V5" s="21">
        <f>SUMIFS('Projections by County'!$D$10:$D$36,'Projections by County'!$A$10:$A$36,$B5,'Projections by County'!$C$10:$C$36,"Natural Gas",'Projections by County'!$B$10:$B$36,"Commercial")</f>
        <v>2153065.0279999999</v>
      </c>
      <c r="W5" s="116"/>
      <c r="X5" s="116">
        <f>IFERROR(SUMIF('nres bld data'!$V$3:$V$254,"="&amp;$B5&amp;$C5&amp;$D5,'nres bld data'!P$3:P$254)/SUMIF('nres bld data'!$V$3:$V$254,"="&amp;$B5&amp;$C5&amp;$D5,'nres bld data'!$T$3:$T$254),0)</f>
        <v>1</v>
      </c>
      <c r="Y5" s="116">
        <f>IFERROR(SUMIF('nres bld data'!$V$3:$V$254,"="&amp;$B5&amp;$C5&amp;$D5,'nres bld data'!Q$3:Q$254)/SUMIF('nres bld data'!$V$3:$V$254,"="&amp;$B5&amp;$C5&amp;$D5,'nres bld data'!$T$3:$T$254),0)</f>
        <v>0</v>
      </c>
      <c r="AA5" s="116">
        <f ca="1">IFERROR(SUMIF('nres bld data'!$V$3:$V$254,"="&amp;$B5&amp;$C5&amp;$D5,'nres bld data'!P$3:P$254)/SUMIF('nres bld data'!$W$256:$W$297,"="&amp;$B5&amp;$C5,'nres bld data'!P$256:P$297),0)</f>
        <v>0.11596144155831269</v>
      </c>
      <c r="AB5" s="116">
        <f ca="1">IFERROR(SUMIF('nres bld data'!$V$3:$V$254,"="&amp;$B5&amp;$C5&amp;$D5,'nres bld data'!Q$3:Q$254)/SUMIF('nres bld data'!$W$256:$W$297,"="&amp;$B5&amp;$C5,'nres bld data'!Q$256:Q$297),0)</f>
        <v>0</v>
      </c>
    </row>
    <row r="6" spans="2:28">
      <c r="B6" s="20" t="s">
        <v>5</v>
      </c>
      <c r="C6" s="20" t="s">
        <v>428</v>
      </c>
      <c r="D6" s="20" t="s">
        <v>440</v>
      </c>
      <c r="E6" s="55">
        <f t="shared" ca="1" si="0"/>
        <v>3.739342632713665E-3</v>
      </c>
      <c r="F6" s="55">
        <f t="shared" ca="1" si="1"/>
        <v>0</v>
      </c>
      <c r="G6" s="21">
        <f ca="1">IFERROR(SUMIF('nres bld data'!$A$3:$A$38,B6&amp;C6,'nres bld data'!$D$3:$D$38),0)</f>
        <v>61962</v>
      </c>
      <c r="H6" s="21">
        <f t="shared" ref="H6:I6" ca="1" si="7">$T6*U6</f>
        <v>2081.3215513655764</v>
      </c>
      <c r="I6" s="21">
        <f t="shared" ca="1" si="7"/>
        <v>2505.4517030573511</v>
      </c>
      <c r="J6" s="21"/>
      <c r="K6" s="21"/>
      <c r="M6" s="20" t="str">
        <f t="shared" ref="M6:O6" si="8">M2</f>
        <v>Electricity</v>
      </c>
      <c r="N6" s="20" t="str">
        <f t="shared" si="8"/>
        <v>Natural Gas</v>
      </c>
      <c r="O6" s="20" t="str">
        <f t="shared" si="8"/>
        <v>Total</v>
      </c>
      <c r="Q6" s="20">
        <v>2.2050000000000001</v>
      </c>
      <c r="R6" s="20" t="s">
        <v>412</v>
      </c>
      <c r="S6" s="115"/>
      <c r="T6" s="22">
        <f ca="1">G6/SUMIF('nres bld data'!$B$3:$B$38,$B6,'nres bld data'!$D$3:$D$38)</f>
        <v>1.1636674556851105E-3</v>
      </c>
      <c r="U6" s="21">
        <f>SUMIFS('Projections by County'!$D$10:$D$36,'Projections by County'!$A$10:$A$36,$B6,'Projections by County'!$C$10:$C$36,"Electricity (kWh)",'Projections by County'!$B$10:$B$36,"Commercial")*BTU_per_kWh/1000000</f>
        <v>1788587.91761964</v>
      </c>
      <c r="V6" s="21">
        <f>SUMIFS('Projections by County'!$D$10:$D$36,'Projections by County'!$A$10:$A$36,$B6,'Projections by County'!$C$10:$C$36,"Natural Gas",'Projections by County'!$B$10:$B$36,"Commercial")</f>
        <v>2153065.0279999999</v>
      </c>
      <c r="W6" s="116"/>
      <c r="X6" s="116">
        <f>IFERROR(SUMIF('nres bld data'!$V$3:$V$254,"="&amp;$B6&amp;$C6&amp;$D6,'nres bld data'!P$3:P$254)/SUMIF('nres bld data'!$V$3:$V$254,"="&amp;$B6&amp;$C6&amp;$D6,'nres bld data'!$T$3:$T$254),0)</f>
        <v>1</v>
      </c>
      <c r="Y6" s="116">
        <f>IFERROR(SUMIF('nres bld data'!$V$3:$V$254,"="&amp;$B6&amp;$C6&amp;$D6,'nres bld data'!Q$3:Q$254)/SUMIF('nres bld data'!$V$3:$V$254,"="&amp;$B6&amp;$C6&amp;$D6,'nres bld data'!$T$3:$T$254),0)</f>
        <v>0</v>
      </c>
      <c r="AA6" s="116">
        <f ca="1">IFERROR(SUMIF('nres bld data'!$V$3:$V$254,"="&amp;$B6&amp;$C6&amp;$D6,'nres bld data'!P$3:P$254)/SUMIF('nres bld data'!$W$256:$W$297,"="&amp;$B6&amp;$C6,'nres bld data'!P$256:P$297),0)</f>
        <v>0.11132212994968761</v>
      </c>
      <c r="AB6" s="116">
        <f ca="1">IFERROR(SUMIF('nres bld data'!$V$3:$V$254,"="&amp;$B6&amp;$C6&amp;$D6,'nres bld data'!Q$3:Q$254)/SUMIF('nres bld data'!$W$256:$W$297,"="&amp;$B6&amp;$C6,'nres bld data'!Q$256:Q$297),0)</f>
        <v>0</v>
      </c>
    </row>
    <row r="7" spans="2:28">
      <c r="B7" s="20" t="s">
        <v>5</v>
      </c>
      <c r="C7" s="20" t="s">
        <v>428</v>
      </c>
      <c r="D7" s="20" t="s">
        <v>443</v>
      </c>
      <c r="E7" s="55">
        <f t="shared" ca="1" si="0"/>
        <v>2.8833940844011814E-3</v>
      </c>
      <c r="F7" s="55">
        <f t="shared" ca="1" si="1"/>
        <v>1.0544294438415952E-2</v>
      </c>
      <c r="G7" s="21">
        <f ca="1">IFERROR(SUMIF('nres bld data'!$A$3:$A$38,B7&amp;C7,'nres bld data'!$D$3:$D$38),0)</f>
        <v>61962</v>
      </c>
      <c r="H7" s="21">
        <f t="shared" ref="H7:I7" ca="1" si="9">$T7*U7</f>
        <v>2081.3215513655764</v>
      </c>
      <c r="I7" s="21">
        <f t="shared" ca="1" si="9"/>
        <v>2505.4517030573511</v>
      </c>
      <c r="J7" s="21"/>
      <c r="K7" s="21"/>
      <c r="L7" s="20" t="s">
        <v>407</v>
      </c>
      <c r="M7" s="21">
        <f t="shared" ref="M7:N7" si="10">U3+U87+U171</f>
        <v>11551480.979267819</v>
      </c>
      <c r="N7" s="21">
        <f t="shared" si="10"/>
        <v>13071843.354</v>
      </c>
      <c r="O7" s="21">
        <f t="shared" ref="O7:O8" si="11">M7+N7</f>
        <v>24623324.333267819</v>
      </c>
      <c r="S7" s="115"/>
      <c r="T7" s="22">
        <f ca="1">G7/SUMIF('nres bld data'!$B$3:$B$38,$B7,'nres bld data'!$D$3:$D$38)</f>
        <v>1.1636674556851105E-3</v>
      </c>
      <c r="U7" s="21">
        <f>SUMIFS('Projections by County'!$D$10:$D$36,'Projections by County'!$A$10:$A$36,$B7,'Projections by County'!$C$10:$C$36,"Electricity (kWh)",'Projections by County'!$B$10:$B$36,"Commercial")*BTU_per_kWh/1000000</f>
        <v>1788587.91761964</v>
      </c>
      <c r="V7" s="21">
        <f>SUMIFS('Projections by County'!$D$10:$D$36,'Projections by County'!$A$10:$A$36,$B7,'Projections by County'!$C$10:$C$36,"Natural Gas",'Projections by County'!$B$10:$B$36,"Commercial")</f>
        <v>2153065.0279999999</v>
      </c>
      <c r="W7" s="116"/>
      <c r="X7" s="116">
        <f>IFERROR(SUMIF('nres bld data'!$V$3:$V$254,"="&amp;$B7&amp;$C7&amp;$D7,'nres bld data'!P$3:P$254)/SUMIF('nres bld data'!$V$3:$V$254,"="&amp;$B7&amp;$C7&amp;$D7,'nres bld data'!$T$3:$T$254),0)</f>
        <v>0.16776227587806047</v>
      </c>
      <c r="Y7" s="116">
        <f>IFERROR(SUMIF('nres bld data'!$V$3:$V$254,"="&amp;$B7&amp;$C7&amp;$D7,'nres bld data'!Q$3:Q$254)/SUMIF('nres bld data'!$V$3:$V$254,"="&amp;$B7&amp;$C7&amp;$D7,'nres bld data'!$T$3:$T$254),0)</f>
        <v>0.83223772412193942</v>
      </c>
      <c r="AA7" s="116">
        <f ca="1">IFERROR(SUMIF('nres bld data'!$V$3:$V$254,"="&amp;$B7&amp;$C7&amp;$D7,'nres bld data'!P$3:P$254)/SUMIF('nres bld data'!$W$256:$W$297,"="&amp;$B7&amp;$C7,'nres bld data'!P$256:P$297),0)</f>
        <v>8.5840106801587088E-2</v>
      </c>
      <c r="AB7" s="116">
        <f ca="1">IFERROR(SUMIF('nres bld data'!$V$3:$V$254,"="&amp;$B7&amp;$C7&amp;$D7,'nres bld data'!Q$3:Q$254)/SUMIF('nres bld data'!$W$256:$W$297,"="&amp;$B7&amp;$C7,'nres bld data'!Q$256:Q$297),0)</f>
        <v>0.26076957348483909</v>
      </c>
    </row>
    <row r="8" spans="2:28">
      <c r="B8" s="20" t="s">
        <v>5</v>
      </c>
      <c r="C8" s="20" t="s">
        <v>428</v>
      </c>
      <c r="D8" s="20" t="s">
        <v>445</v>
      </c>
      <c r="E8" s="55">
        <f t="shared" ca="1" si="0"/>
        <v>4.2737837683423938E-3</v>
      </c>
      <c r="F8" s="55">
        <f t="shared" ca="1" si="1"/>
        <v>9.698445728679372E-3</v>
      </c>
      <c r="G8" s="21">
        <f ca="1">IFERROR(SUMIF('nres bld data'!$A$3:$A$38,B8&amp;C8,'nres bld data'!$D$3:$D$38),0)</f>
        <v>61962</v>
      </c>
      <c r="H8" s="21">
        <f t="shared" ref="H8:I8" ca="1" si="12">$T8*U8</f>
        <v>2081.3215513655764</v>
      </c>
      <c r="I8" s="21">
        <f t="shared" ca="1" si="12"/>
        <v>2505.4517030573511</v>
      </c>
      <c r="J8" s="21"/>
      <c r="K8" s="21"/>
      <c r="L8" s="20" t="s">
        <v>409</v>
      </c>
      <c r="M8" s="21">
        <f ca="1">IF('res bld calcs'!L10="Yes",M7*Q10,M7*Q9)</f>
        <v>1616463.5918810174</v>
      </c>
      <c r="N8" s="21">
        <f ca="1">N7*Q12</f>
        <v>693831.2230966182</v>
      </c>
      <c r="O8" s="21">
        <f t="shared" ca="1" si="11"/>
        <v>2310294.8149776356</v>
      </c>
      <c r="Q8" s="20" t="s">
        <v>0</v>
      </c>
      <c r="S8" s="115"/>
      <c r="T8" s="22">
        <f ca="1">G8/SUMIF('nres bld data'!$B$3:$B$38,$B8,'nres bld data'!$D$3:$D$38)</f>
        <v>1.1636674556851105E-3</v>
      </c>
      <c r="U8" s="21">
        <f>SUMIFS('Projections by County'!$D$10:$D$36,'Projections by County'!$A$10:$A$36,$B8,'Projections by County'!$C$10:$C$36,"Electricity (kWh)",'Projections by County'!$B$10:$B$36,"Commercial")*BTU_per_kWh/1000000</f>
        <v>1788587.91761964</v>
      </c>
      <c r="V8" s="21">
        <f>SUMIFS('Projections by County'!$D$10:$D$36,'Projections by County'!$A$10:$A$36,$B8,'Projections by County'!$C$10:$C$36,"Natural Gas",'Projections by County'!$B$10:$B$36,"Commercial")</f>
        <v>2153065.0279999999</v>
      </c>
      <c r="W8" s="116"/>
      <c r="X8" s="116">
        <f>IFERROR(SUMIF('nres bld data'!$V$3:$V$254,"="&amp;$B8&amp;$C8&amp;$D8,'nres bld data'!P$3:P$254)/SUMIF('nres bld data'!$V$3:$V$254,"="&amp;$B8&amp;$C8&amp;$D8,'nres bld data'!$T$3:$T$254),0)</f>
        <v>0.2451924417525973</v>
      </c>
      <c r="Y8" s="116">
        <f>IFERROR(SUMIF('nres bld data'!$V$3:$V$254,"="&amp;$B8&amp;$C8&amp;$D8,'nres bld data'!Q$3:Q$254)/SUMIF('nres bld data'!$V$3:$V$254,"="&amp;$B8&amp;$C8&amp;$D8,'nres bld data'!$T$3:$T$254),0)</f>
        <v>0.75480755824740275</v>
      </c>
      <c r="AA8" s="116">
        <f ca="1">IFERROR(SUMIF('nres bld data'!$V$3:$V$254,"="&amp;$B8&amp;$C8&amp;$D8,'nres bld data'!P$3:P$254)/SUMIF('nres bld data'!$W$256:$W$297,"="&amp;$B8&amp;$C8,'nres bld data'!P$256:P$297),0)</f>
        <v>0.12723271408028491</v>
      </c>
      <c r="AB8" s="116">
        <f ca="1">IFERROR(SUMIF('nres bld data'!$V$3:$V$254,"="&amp;$B8&amp;$C8&amp;$D8,'nres bld data'!Q$3:Q$254)/SUMIF('nres bld data'!$W$256:$W$297,"="&amp;$B8&amp;$C8,'nres bld data'!Q$256:Q$297),0)</f>
        <v>0.23985099912607477</v>
      </c>
    </row>
    <row r="9" spans="2:28">
      <c r="B9" s="20" t="s">
        <v>5</v>
      </c>
      <c r="C9" s="20" t="s">
        <v>449</v>
      </c>
      <c r="D9" s="20" t="s">
        <v>429</v>
      </c>
      <c r="E9" s="55">
        <f t="shared" ca="1" si="0"/>
        <v>0</v>
      </c>
      <c r="F9" s="55">
        <f t="shared" ca="1" si="1"/>
        <v>0</v>
      </c>
      <c r="G9" s="21">
        <f>IFERROR(SUMIF('nres bld data'!$A$3:$A$38,B9&amp;C9,'nres bld data'!$D$3:$D$38),0)</f>
        <v>0</v>
      </c>
      <c r="H9" s="21">
        <f t="shared" ref="H9:I9" ca="1" si="13">$T9*U9</f>
        <v>0</v>
      </c>
      <c r="I9" s="21">
        <f t="shared" ca="1" si="13"/>
        <v>0</v>
      </c>
      <c r="J9" s="119"/>
      <c r="K9" s="21"/>
      <c r="Q9" s="94">
        <f ca="1">'res bld calcs'!P9</f>
        <v>0.13993561473045646</v>
      </c>
      <c r="R9" s="20" t="s">
        <v>413</v>
      </c>
      <c r="S9" s="115"/>
      <c r="T9" s="22">
        <f ca="1">G9/SUMIF('nres bld data'!$B$3:$B$38,$B9,'nres bld data'!$D$3:$D$38)</f>
        <v>0</v>
      </c>
      <c r="U9" s="21">
        <f>SUMIFS('Projections by County'!$D$10:$D$36,'Projections by County'!$A$10:$A$36,$B9,'Projections by County'!$C$10:$C$36,"Electricity (kWh)",'Projections by County'!$B$10:$B$36,"Commercial")*BTU_per_kWh/1000000</f>
        <v>1788587.91761964</v>
      </c>
      <c r="V9" s="21">
        <f>SUMIFS('Projections by County'!$D$10:$D$36,'Projections by County'!$A$10:$A$36,$B9,'Projections by County'!$C$10:$C$36,"Natural Gas",'Projections by County'!$B$10:$B$36,"Commercial")</f>
        <v>2153065.0279999999</v>
      </c>
      <c r="W9" s="116"/>
      <c r="X9" s="116">
        <f>IFERROR(SUMIF('nres bld data'!$V$3:$V$254,"="&amp;$B9&amp;$C9&amp;$D9,'nres bld data'!P$3:P$254)/SUMIF('nres bld data'!$V$3:$V$254,"="&amp;$B9&amp;$C9&amp;$D9,'nres bld data'!$T$3:$T$254),0)</f>
        <v>0.86095423693964701</v>
      </c>
      <c r="Y9" s="116">
        <f>IFERROR(SUMIF('nres bld data'!$V$3:$V$254,"="&amp;$B9&amp;$C9&amp;$D9,'nres bld data'!Q$3:Q$254)/SUMIF('nres bld data'!$V$3:$V$254,"="&amp;$B9&amp;$C9&amp;$D9,'nres bld data'!$T$3:$T$254),0)</f>
        <v>0.13904576306035302</v>
      </c>
      <c r="AA9" s="116">
        <f ca="1">IFERROR(SUMIF('nres bld data'!$V$3:$V$254,"="&amp;$B9&amp;$C9&amp;$D9,'nres bld data'!P$3:P$254)/SUMIF('nres bld data'!$W$256:$W$297,"="&amp;$B9&amp;$C9,'nres bld data'!P$256:P$297),0)</f>
        <v>0.38222687662268096</v>
      </c>
      <c r="AB9" s="116">
        <f ca="1">IFERROR(SUMIF('nres bld data'!$V$3:$V$254,"="&amp;$B9&amp;$C9&amp;$D9,'nres bld data'!Q$3:Q$254)/SUMIF('nres bld data'!$W$256:$W$297,"="&amp;$B9&amp;$C9,'nres bld data'!Q$256:Q$297),0)</f>
        <v>0.10169896328235498</v>
      </c>
    </row>
    <row r="10" spans="2:28">
      <c r="B10" s="20" t="s">
        <v>5</v>
      </c>
      <c r="C10" s="20" t="s">
        <v>449</v>
      </c>
      <c r="D10" s="20" t="s">
        <v>433</v>
      </c>
      <c r="E10" s="55">
        <f t="shared" ca="1" si="0"/>
        <v>0</v>
      </c>
      <c r="F10" s="55">
        <f t="shared" ca="1" si="1"/>
        <v>0</v>
      </c>
      <c r="G10" s="21">
        <f>IFERROR(SUMIF('nres bld data'!$A$3:$A$38,B10&amp;C10,'nres bld data'!$D$3:$D$38),0)</f>
        <v>0</v>
      </c>
      <c r="H10" s="21">
        <f t="shared" ref="H10:I10" ca="1" si="14">$T10*U10</f>
        <v>0</v>
      </c>
      <c r="I10" s="21">
        <f t="shared" ca="1" si="14"/>
        <v>0</v>
      </c>
      <c r="J10" s="119"/>
      <c r="K10" s="21"/>
      <c r="P10" s="73" t="s">
        <v>468</v>
      </c>
      <c r="Q10" s="94">
        <f>'res bld calcs'!P10</f>
        <v>6.9967807369999996E-2</v>
      </c>
      <c r="R10" s="20" t="s">
        <v>413</v>
      </c>
      <c r="S10" s="115"/>
      <c r="T10" s="22">
        <f ca="1">G10/SUMIF('nres bld data'!$B$3:$B$38,$B10,'nres bld data'!$D$3:$D$38)</f>
        <v>0</v>
      </c>
      <c r="U10" s="21">
        <f>SUMIFS('Projections by County'!$D$10:$D$36,'Projections by County'!$A$10:$A$36,$B10,'Projections by County'!$C$10:$C$36,"Electricity (kWh)",'Projections by County'!$B$10:$B$36,"Commercial")*BTU_per_kWh/1000000</f>
        <v>1788587.91761964</v>
      </c>
      <c r="V10" s="21">
        <f>SUMIFS('Projections by County'!$D$10:$D$36,'Projections by County'!$A$10:$A$36,$B10,'Projections by County'!$C$10:$C$36,"Natural Gas",'Projections by County'!$B$10:$B$36,"Commercial")</f>
        <v>2153065.0279999999</v>
      </c>
      <c r="W10" s="116"/>
      <c r="X10" s="116">
        <f>IFERROR(SUMIF('nres bld data'!$V$3:$V$254,"="&amp;$B10&amp;$C10&amp;$D10,'nres bld data'!P$3:P$254)/SUMIF('nres bld data'!$V$3:$V$254,"="&amp;$B10&amp;$C10&amp;$D10,'nres bld data'!$T$3:$T$254),0)</f>
        <v>1</v>
      </c>
      <c r="Y10" s="116">
        <f>IFERROR(SUMIF('nres bld data'!$V$3:$V$254,"="&amp;$B10&amp;$C10&amp;$D10,'nres bld data'!Q$3:Q$254)/SUMIF('nres bld data'!$V$3:$V$254,"="&amp;$B10&amp;$C10&amp;$D10,'nres bld data'!$T$3:$T$254),0)</f>
        <v>0</v>
      </c>
      <c r="AA10" s="116">
        <f ca="1">IFERROR(SUMIF('nres bld data'!$V$3:$V$254,"="&amp;$B10&amp;$C10&amp;$D10,'nres bld data'!P$3:P$254)/SUMIF('nres bld data'!$W$256:$W$297,"="&amp;$B10&amp;$C10,'nres bld data'!P$256:P$297),0)</f>
        <v>0.1293828752423184</v>
      </c>
      <c r="AB10" s="116">
        <f ca="1">IFERROR(SUMIF('nres bld data'!$V$3:$V$254,"="&amp;$B10&amp;$C10&amp;$D10,'nres bld data'!Q$3:Q$254)/SUMIF('nres bld data'!$W$256:$W$297,"="&amp;$B10&amp;$C10,'nres bld data'!Q$256:Q$297),0)</f>
        <v>0</v>
      </c>
    </row>
    <row r="11" spans="2:28">
      <c r="B11" s="20" t="s">
        <v>5</v>
      </c>
      <c r="C11" s="20" t="s">
        <v>449</v>
      </c>
      <c r="D11" s="20" t="s">
        <v>437</v>
      </c>
      <c r="E11" s="55">
        <f t="shared" ca="1" si="0"/>
        <v>0</v>
      </c>
      <c r="F11" s="55">
        <f t="shared" ca="1" si="1"/>
        <v>0</v>
      </c>
      <c r="G11" s="21">
        <f>IFERROR(SUMIF('nres bld data'!$A$3:$A$38,B11&amp;C11,'nres bld data'!$D$3:$D$38),0)</f>
        <v>0</v>
      </c>
      <c r="H11" s="21">
        <f t="shared" ref="H11:I11" ca="1" si="15">$T11*U11</f>
        <v>0</v>
      </c>
      <c r="I11" s="21">
        <f t="shared" ca="1" si="15"/>
        <v>0</v>
      </c>
      <c r="J11" s="21"/>
      <c r="K11" s="21"/>
      <c r="Q11" s="20" t="s">
        <v>14</v>
      </c>
      <c r="S11" s="115"/>
      <c r="T11" s="22">
        <f ca="1">G11/SUMIF('nres bld data'!$B$3:$B$38,$B11,'nres bld data'!$D$3:$D$38)</f>
        <v>0</v>
      </c>
      <c r="U11" s="21">
        <f>SUMIFS('Projections by County'!$D$10:$D$36,'Projections by County'!$A$10:$A$36,$B11,'Projections by County'!$C$10:$C$36,"Electricity (kWh)",'Projections by County'!$B$10:$B$36,"Commercial")*BTU_per_kWh/1000000</f>
        <v>1788587.91761964</v>
      </c>
      <c r="V11" s="21">
        <f>SUMIFS('Projections by County'!$D$10:$D$36,'Projections by County'!$A$10:$A$36,$B11,'Projections by County'!$C$10:$C$36,"Natural Gas",'Projections by County'!$B$10:$B$36,"Commercial")</f>
        <v>2153065.0279999999</v>
      </c>
      <c r="W11" s="116"/>
      <c r="X11" s="116">
        <f>IFERROR(SUMIF('nres bld data'!$V$3:$V$254,"="&amp;$B11&amp;$C11&amp;$D11,'nres bld data'!P$3:P$254)/SUMIF('nres bld data'!$V$3:$V$254,"="&amp;$B11&amp;$C11&amp;$D11,'nres bld data'!$T$3:$T$254),0)</f>
        <v>1</v>
      </c>
      <c r="Y11" s="116">
        <f>IFERROR(SUMIF('nres bld data'!$V$3:$V$254,"="&amp;$B11&amp;$C11&amp;$D11,'nres bld data'!Q$3:Q$254)/SUMIF('nres bld data'!$V$3:$V$254,"="&amp;$B11&amp;$C11&amp;$D11,'nres bld data'!$T$3:$T$254),0)</f>
        <v>0</v>
      </c>
      <c r="AA11" s="116">
        <f ca="1">IFERROR(SUMIF('nres bld data'!$V$3:$V$254,"="&amp;$B11&amp;$C11&amp;$D11,'nres bld data'!P$3:P$254)/SUMIF('nres bld data'!$W$256:$W$297,"="&amp;$B11&amp;$C11,'nres bld data'!P$256:P$297),0)</f>
        <v>0.22838914218611028</v>
      </c>
      <c r="AB11" s="116">
        <f ca="1">IFERROR(SUMIF('nres bld data'!$V$3:$V$254,"="&amp;$B11&amp;$C11&amp;$D11,'nres bld data'!Q$3:Q$254)/SUMIF('nres bld data'!$W$256:$W$297,"="&amp;$B11&amp;$C11,'nres bld data'!Q$256:Q$297),0)</f>
        <v>0</v>
      </c>
    </row>
    <row r="12" spans="2:28">
      <c r="B12" s="20" t="s">
        <v>5</v>
      </c>
      <c r="C12" s="20" t="s">
        <v>449</v>
      </c>
      <c r="D12" s="20" t="s">
        <v>440</v>
      </c>
      <c r="E12" s="55">
        <f t="shared" ca="1" si="0"/>
        <v>0</v>
      </c>
      <c r="F12" s="55">
        <f t="shared" ca="1" si="1"/>
        <v>0</v>
      </c>
      <c r="G12" s="21">
        <f>IFERROR(SUMIF('nres bld data'!$A$3:$A$38,B12&amp;C12,'nres bld data'!$D$3:$D$38),0)</f>
        <v>0</v>
      </c>
      <c r="H12" s="21">
        <f t="shared" ref="H12:I12" ca="1" si="16">$T12*U12</f>
        <v>0</v>
      </c>
      <c r="I12" s="21">
        <f t="shared" ca="1" si="16"/>
        <v>0</v>
      </c>
      <c r="J12" s="21"/>
      <c r="K12" s="21"/>
      <c r="Q12" s="20">
        <f ca="1">N4/N3</f>
        <v>5.3078300000000002E-2</v>
      </c>
      <c r="R12" s="20" t="s">
        <v>413</v>
      </c>
      <c r="S12" s="115"/>
      <c r="T12" s="22">
        <f ca="1">G12/SUMIF('nres bld data'!$B$3:$B$38,$B12,'nres bld data'!$D$3:$D$38)</f>
        <v>0</v>
      </c>
      <c r="U12" s="21">
        <f>SUMIFS('Projections by County'!$D$10:$D$36,'Projections by County'!$A$10:$A$36,$B12,'Projections by County'!$C$10:$C$36,"Electricity (kWh)",'Projections by County'!$B$10:$B$36,"Commercial")*BTU_per_kWh/1000000</f>
        <v>1788587.91761964</v>
      </c>
      <c r="V12" s="21">
        <f>SUMIFS('Projections by County'!$D$10:$D$36,'Projections by County'!$A$10:$A$36,$B12,'Projections by County'!$C$10:$C$36,"Natural Gas",'Projections by County'!$B$10:$B$36,"Commercial")</f>
        <v>2153065.0279999999</v>
      </c>
      <c r="W12" s="116"/>
      <c r="X12" s="116">
        <f>IFERROR(SUMIF('nres bld data'!$V$3:$V$254,"="&amp;$B12&amp;$C12&amp;$D12,'nres bld data'!P$3:P$254)/SUMIF('nres bld data'!$V$3:$V$254,"="&amp;$B12&amp;$C12&amp;$D12,'nres bld data'!$T$3:$T$254),0)</f>
        <v>1</v>
      </c>
      <c r="Y12" s="116">
        <f>IFERROR(SUMIF('nres bld data'!$V$3:$V$254,"="&amp;$B12&amp;$C12&amp;$D12,'nres bld data'!Q$3:Q$254)/SUMIF('nres bld data'!$V$3:$V$254,"="&amp;$B12&amp;$C12&amp;$D12,'nres bld data'!$T$3:$T$254),0)</f>
        <v>0</v>
      </c>
      <c r="AA12" s="116">
        <f ca="1">IFERROR(SUMIF('nres bld data'!$V$3:$V$254,"="&amp;$B12&amp;$C12&amp;$D12,'nres bld data'!P$3:P$254)/SUMIF('nres bld data'!$W$256:$W$297,"="&amp;$B12&amp;$C12,'nres bld data'!P$256:P$297),0)</f>
        <v>0.20586624653326013</v>
      </c>
      <c r="AB12" s="116">
        <f ca="1">IFERROR(SUMIF('nres bld data'!$V$3:$V$254,"="&amp;$B12&amp;$C12&amp;$D12,'nres bld data'!Q$3:Q$254)/SUMIF('nres bld data'!$W$256:$W$297,"="&amp;$B12&amp;$C12,'nres bld data'!Q$256:Q$297),0)</f>
        <v>0</v>
      </c>
    </row>
    <row r="13" spans="2:28">
      <c r="B13" s="20" t="s">
        <v>5</v>
      </c>
      <c r="C13" s="20" t="s">
        <v>449</v>
      </c>
      <c r="D13" s="20" t="s">
        <v>443</v>
      </c>
      <c r="E13" s="55">
        <f t="shared" ca="1" si="0"/>
        <v>0</v>
      </c>
      <c r="F13" s="55">
        <f t="shared" ca="1" si="1"/>
        <v>0</v>
      </c>
      <c r="G13" s="21">
        <f>IFERROR(SUMIF('nres bld data'!$A$3:$A$38,B13&amp;C13,'nres bld data'!$D$3:$D$38),0)</f>
        <v>0</v>
      </c>
      <c r="H13" s="21">
        <f t="shared" ref="H13:I13" ca="1" si="17">$T13*U13</f>
        <v>0</v>
      </c>
      <c r="I13" s="21">
        <f t="shared" ca="1" si="17"/>
        <v>0</v>
      </c>
      <c r="J13" s="21"/>
      <c r="K13" s="21"/>
      <c r="S13" s="115"/>
      <c r="T13" s="22">
        <f ca="1">G13/SUMIF('nres bld data'!$B$3:$B$38,$B13,'nres bld data'!$D$3:$D$38)</f>
        <v>0</v>
      </c>
      <c r="U13" s="21">
        <f>SUMIFS('Projections by County'!$D$10:$D$36,'Projections by County'!$A$10:$A$36,$B13,'Projections by County'!$C$10:$C$36,"Electricity (kWh)",'Projections by County'!$B$10:$B$36,"Commercial")*BTU_per_kWh/1000000</f>
        <v>1788587.91761964</v>
      </c>
      <c r="V13" s="21">
        <f>SUMIFS('Projections by County'!$D$10:$D$36,'Projections by County'!$A$10:$A$36,$B13,'Projections by County'!$C$10:$C$36,"Natural Gas",'Projections by County'!$B$10:$B$36,"Commercial")</f>
        <v>2153065.0279999999</v>
      </c>
      <c r="W13" s="116"/>
      <c r="X13" s="116">
        <f>IFERROR(SUMIF('nres bld data'!$V$3:$V$254,"="&amp;$B13&amp;$C13&amp;$D13,'nres bld data'!P$3:P$254)/SUMIF('nres bld data'!$V$3:$V$254,"="&amp;$B13&amp;$C13&amp;$D13,'nres bld data'!$T$3:$T$254),0)</f>
        <v>0</v>
      </c>
      <c r="Y13" s="116">
        <f>IFERROR(SUMIF('nres bld data'!$V$3:$V$254,"="&amp;$B13&amp;$C13&amp;$D13,'nres bld data'!Q$3:Q$254)/SUMIF('nres bld data'!$V$3:$V$254,"="&amp;$B13&amp;$C13&amp;$D13,'nres bld data'!$T$3:$T$254),0)</f>
        <v>1</v>
      </c>
      <c r="AA13" s="116">
        <f ca="1">IFERROR(SUMIF('nres bld data'!$V$3:$V$254,"="&amp;$B13&amp;$C13&amp;$D13,'nres bld data'!P$3:P$254)/SUMIF('nres bld data'!$W$256:$W$297,"="&amp;$B13&amp;$C13,'nres bld data'!P$256:P$297),0)</f>
        <v>0</v>
      </c>
      <c r="AB13" s="116">
        <f ca="1">IFERROR(SUMIF('nres bld data'!$V$3:$V$254,"="&amp;$B13&amp;$C13&amp;$D13,'nres bld data'!Q$3:Q$254)/SUMIF('nres bld data'!$W$256:$W$297,"="&amp;$B13&amp;$C13,'nres bld data'!Q$256:Q$297),0)</f>
        <v>0.76812235382359606</v>
      </c>
    </row>
    <row r="14" spans="2:28">
      <c r="B14" s="20" t="s">
        <v>5</v>
      </c>
      <c r="C14" s="20" t="s">
        <v>449</v>
      </c>
      <c r="D14" s="20" t="s">
        <v>445</v>
      </c>
      <c r="E14" s="55">
        <f t="shared" ca="1" si="0"/>
        <v>0</v>
      </c>
      <c r="F14" s="55">
        <f t="shared" ca="1" si="1"/>
        <v>0</v>
      </c>
      <c r="G14" s="21">
        <f>IFERROR(SUMIF('nres bld data'!$A$3:$A$38,B14&amp;C14,'nres bld data'!$D$3:$D$38),0)</f>
        <v>0</v>
      </c>
      <c r="H14" s="21">
        <f t="shared" ref="H14:I14" ca="1" si="18">$T14*U14</f>
        <v>0</v>
      </c>
      <c r="I14" s="21">
        <f t="shared" ca="1" si="18"/>
        <v>0</v>
      </c>
      <c r="J14" s="21"/>
      <c r="K14" s="21"/>
      <c r="S14" s="115"/>
      <c r="T14" s="22">
        <f ca="1">G14/SUMIF('nres bld data'!$B$3:$B$38,$B14,'nres bld data'!$D$3:$D$38)</f>
        <v>0</v>
      </c>
      <c r="U14" s="21">
        <f>SUMIFS('Projections by County'!$D$10:$D$36,'Projections by County'!$A$10:$A$36,$B14,'Projections by County'!$C$10:$C$36,"Electricity (kWh)",'Projections by County'!$B$10:$B$36,"Commercial")*BTU_per_kWh/1000000</f>
        <v>1788587.91761964</v>
      </c>
      <c r="V14" s="21">
        <f>SUMIFS('Projections by County'!$D$10:$D$36,'Projections by County'!$A$10:$A$36,$B14,'Projections by County'!$C$10:$C$36,"Natural Gas",'Projections by County'!$B$10:$B$36,"Commercial")</f>
        <v>2153065.0279999999</v>
      </c>
      <c r="W14" s="116"/>
      <c r="X14" s="116">
        <f>IFERROR(SUMIF('nres bld data'!$V$3:$V$254,"="&amp;$B14&amp;$C14&amp;$D14,'nres bld data'!P$3:P$254)/SUMIF('nres bld data'!$V$3:$V$254,"="&amp;$B14&amp;$C14&amp;$D14,'nres bld data'!$T$3:$T$254),0)</f>
        <v>0.40656384457973699</v>
      </c>
      <c r="Y14" s="116">
        <f>IFERROR(SUMIF('nres bld data'!$V$3:$V$254,"="&amp;$B14&amp;$C14&amp;$D14,'nres bld data'!Q$3:Q$254)/SUMIF('nres bld data'!$V$3:$V$254,"="&amp;$B14&amp;$C14&amp;$D14,'nres bld data'!$T$3:$T$254),0)</f>
        <v>0.59343615542026296</v>
      </c>
      <c r="AA14" s="116">
        <f ca="1">IFERROR(SUMIF('nres bld data'!$V$3:$V$254,"="&amp;$B14&amp;$C14&amp;$D14,'nres bld data'!P$3:P$254)/SUMIF('nres bld data'!$W$256:$W$297,"="&amp;$B14&amp;$C14,'nres bld data'!P$256:P$297),0)</f>
        <v>5.413485941563035E-2</v>
      </c>
      <c r="AB14" s="116">
        <f ca="1">IFERROR(SUMIF('nres bld data'!$V$3:$V$254,"="&amp;$B14&amp;$C14&amp;$D14,'nres bld data'!Q$3:Q$254)/SUMIF('nres bld data'!$W$256:$W$297,"="&amp;$B14&amp;$C14,'nres bld data'!Q$256:Q$297),0)</f>
        <v>0.13017868289404905</v>
      </c>
    </row>
    <row r="15" spans="2:28">
      <c r="B15" s="20" t="s">
        <v>5</v>
      </c>
      <c r="C15" s="20" t="s">
        <v>458</v>
      </c>
      <c r="D15" s="20" t="s">
        <v>429</v>
      </c>
      <c r="E15" s="55">
        <f t="shared" ca="1" si="0"/>
        <v>0</v>
      </c>
      <c r="F15" s="55">
        <f t="shared" ca="1" si="1"/>
        <v>0</v>
      </c>
      <c r="G15" s="21">
        <f>IFERROR(SUMIF('nres bld data'!$A$3:$A$38,B15&amp;C15,'nres bld data'!$D$3:$D$38),0)</f>
        <v>0</v>
      </c>
      <c r="H15" s="21">
        <f t="shared" ref="H15:I15" ca="1" si="19">$T15*U15</f>
        <v>0</v>
      </c>
      <c r="I15" s="21">
        <f t="shared" ca="1" si="19"/>
        <v>0</v>
      </c>
      <c r="J15" s="119"/>
      <c r="K15" s="21"/>
      <c r="M15" s="116"/>
      <c r="S15" s="115"/>
      <c r="T15" s="22">
        <f ca="1">G15/SUMIF('nres bld data'!$B$3:$B$38,$B15,'nres bld data'!$D$3:$D$38)</f>
        <v>0</v>
      </c>
      <c r="U15" s="21">
        <f>SUMIFS('Projections by County'!$D$10:$D$36,'Projections by County'!$A$10:$A$36,$B15,'Projections by County'!$C$10:$C$36,"Electricity (kWh)",'Projections by County'!$B$10:$B$36,"Commercial")*BTU_per_kWh/1000000</f>
        <v>1788587.91761964</v>
      </c>
      <c r="V15" s="21">
        <f>SUMIFS('Projections by County'!$D$10:$D$36,'Projections by County'!$A$10:$A$36,$B15,'Projections by County'!$C$10:$C$36,"Natural Gas",'Projections by County'!$B$10:$B$36,"Commercial")</f>
        <v>2153065.0279999999</v>
      </c>
      <c r="W15" s="116"/>
      <c r="X15" s="116">
        <f>IFERROR(SUMIF('nres bld data'!$V$3:$V$254,"="&amp;$B15&amp;$C15&amp;$D15,'nres bld data'!P$3:P$254)/SUMIF('nres bld data'!$V$3:$V$254,"="&amp;$B15&amp;$C15&amp;$D15,'nres bld data'!$T$3:$T$254),0)</f>
        <v>0</v>
      </c>
      <c r="Y15" s="116">
        <f>IFERROR(SUMIF('nres bld data'!$V$3:$V$254,"="&amp;$B15&amp;$C15&amp;$D15,'nres bld data'!Q$3:Q$254)/SUMIF('nres bld data'!$V$3:$V$254,"="&amp;$B15&amp;$C15&amp;$D15,'nres bld data'!$T$3:$T$254),0)</f>
        <v>0</v>
      </c>
      <c r="AA15" s="116">
        <f ca="1">IFERROR(SUMIF('nres bld data'!$V$3:$V$254,"="&amp;$B15&amp;$C15&amp;$D15,'nres bld data'!P$3:P$254)/SUMIF('nres bld data'!$W$256:$W$297,"="&amp;$B15&amp;$C15,'nres bld data'!P$256:P$297),0)</f>
        <v>0</v>
      </c>
      <c r="AB15" s="116">
        <f ca="1">IFERROR(SUMIF('nres bld data'!$V$3:$V$254,"="&amp;$B15&amp;$C15&amp;$D15,'nres bld data'!Q$3:Q$254)/SUMIF('nres bld data'!$W$256:$W$297,"="&amp;$B15&amp;$C15,'nres bld data'!Q$256:Q$297),0)</f>
        <v>0</v>
      </c>
    </row>
    <row r="16" spans="2:28">
      <c r="B16" s="20" t="s">
        <v>5</v>
      </c>
      <c r="C16" s="20" t="s">
        <v>458</v>
      </c>
      <c r="D16" s="20" t="s">
        <v>433</v>
      </c>
      <c r="E16" s="55">
        <f t="shared" ca="1" si="0"/>
        <v>0</v>
      </c>
      <c r="F16" s="55">
        <f t="shared" ca="1" si="1"/>
        <v>0</v>
      </c>
      <c r="G16" s="21">
        <f>IFERROR(SUMIF('nres bld data'!$A$3:$A$38,B16&amp;C16,'nres bld data'!$D$3:$D$38),0)</f>
        <v>0</v>
      </c>
      <c r="H16" s="21">
        <f t="shared" ref="H16:I16" ca="1" si="20">$T16*U16</f>
        <v>0</v>
      </c>
      <c r="I16" s="21">
        <f t="shared" ca="1" si="20"/>
        <v>0</v>
      </c>
      <c r="J16" s="119"/>
      <c r="K16" s="21"/>
      <c r="S16" s="115"/>
      <c r="T16" s="22">
        <f ca="1">G16/SUMIF('nres bld data'!$B$3:$B$38,$B16,'nres bld data'!$D$3:$D$38)</f>
        <v>0</v>
      </c>
      <c r="U16" s="21">
        <f>SUMIFS('Projections by County'!$D$10:$D$36,'Projections by County'!$A$10:$A$36,$B16,'Projections by County'!$C$10:$C$36,"Electricity (kWh)",'Projections by County'!$B$10:$B$36,"Commercial")*BTU_per_kWh/1000000</f>
        <v>1788587.91761964</v>
      </c>
      <c r="V16" s="21">
        <f>SUMIFS('Projections by County'!$D$10:$D$36,'Projections by County'!$A$10:$A$36,$B16,'Projections by County'!$C$10:$C$36,"Natural Gas",'Projections by County'!$B$10:$B$36,"Commercial")</f>
        <v>2153065.0279999999</v>
      </c>
      <c r="W16" s="116"/>
      <c r="X16" s="116">
        <f>IFERROR(SUMIF('nres bld data'!$V$3:$V$254,"="&amp;$B16&amp;$C16&amp;$D16,'nres bld data'!P$3:P$254)/SUMIF('nres bld data'!$V$3:$V$254,"="&amp;$B16&amp;$C16&amp;$D16,'nres bld data'!$T$3:$T$254),0)</f>
        <v>0</v>
      </c>
      <c r="Y16" s="116">
        <f>IFERROR(SUMIF('nres bld data'!$V$3:$V$254,"="&amp;$B16&amp;$C16&amp;$D16,'nres bld data'!Q$3:Q$254)/SUMIF('nres bld data'!$V$3:$V$254,"="&amp;$B16&amp;$C16&amp;$D16,'nres bld data'!$T$3:$T$254),0)</f>
        <v>0</v>
      </c>
      <c r="AA16" s="116">
        <f ca="1">IFERROR(SUMIF('nres bld data'!$V$3:$V$254,"="&amp;$B16&amp;$C16&amp;$D16,'nres bld data'!P$3:P$254)/SUMIF('nres bld data'!$W$256:$W$297,"="&amp;$B16&amp;$C16,'nres bld data'!P$256:P$297),0)</f>
        <v>0</v>
      </c>
      <c r="AB16" s="116">
        <f ca="1">IFERROR(SUMIF('nres bld data'!$V$3:$V$254,"="&amp;$B16&amp;$C16&amp;$D16,'nres bld data'!Q$3:Q$254)/SUMIF('nres bld data'!$W$256:$W$297,"="&amp;$B16&amp;$C16,'nres bld data'!Q$256:Q$297),0)</f>
        <v>0</v>
      </c>
    </row>
    <row r="17" spans="2:28">
      <c r="B17" s="20" t="s">
        <v>5</v>
      </c>
      <c r="C17" s="20" t="s">
        <v>458</v>
      </c>
      <c r="D17" s="20" t="s">
        <v>437</v>
      </c>
      <c r="E17" s="55">
        <f t="shared" ca="1" si="0"/>
        <v>0</v>
      </c>
      <c r="F17" s="55">
        <f t="shared" ca="1" si="1"/>
        <v>0</v>
      </c>
      <c r="G17" s="21">
        <f>IFERROR(SUMIF('nres bld data'!$A$3:$A$38,B17&amp;C17,'nres bld data'!$D$3:$D$38),0)</f>
        <v>0</v>
      </c>
      <c r="H17" s="21">
        <f t="shared" ref="H17:I17" ca="1" si="21">$T17*U17</f>
        <v>0</v>
      </c>
      <c r="I17" s="21">
        <f t="shared" ca="1" si="21"/>
        <v>0</v>
      </c>
      <c r="J17" s="21"/>
      <c r="K17" s="21"/>
      <c r="M17" s="55"/>
      <c r="S17" s="115"/>
      <c r="T17" s="22">
        <f ca="1">G17/SUMIF('nres bld data'!$B$3:$B$38,$B17,'nres bld data'!$D$3:$D$38)</f>
        <v>0</v>
      </c>
      <c r="U17" s="21">
        <f>SUMIFS('Projections by County'!$D$10:$D$36,'Projections by County'!$A$10:$A$36,$B17,'Projections by County'!$C$10:$C$36,"Electricity (kWh)",'Projections by County'!$B$10:$B$36,"Commercial")*BTU_per_kWh/1000000</f>
        <v>1788587.91761964</v>
      </c>
      <c r="V17" s="21">
        <f>SUMIFS('Projections by County'!$D$10:$D$36,'Projections by County'!$A$10:$A$36,$B17,'Projections by County'!$C$10:$C$36,"Natural Gas",'Projections by County'!$B$10:$B$36,"Commercial")</f>
        <v>2153065.0279999999</v>
      </c>
      <c r="W17" s="116"/>
      <c r="X17" s="116">
        <f>IFERROR(SUMIF('nres bld data'!$V$3:$V$254,"="&amp;$B17&amp;$C17&amp;$D17,'nres bld data'!P$3:P$254)/SUMIF('nres bld data'!$V$3:$V$254,"="&amp;$B17&amp;$C17&amp;$D17,'nres bld data'!$T$3:$T$254),0)</f>
        <v>0</v>
      </c>
      <c r="Y17" s="116">
        <f>IFERROR(SUMIF('nres bld data'!$V$3:$V$254,"="&amp;$B17&amp;$C17&amp;$D17,'nres bld data'!Q$3:Q$254)/SUMIF('nres bld data'!$V$3:$V$254,"="&amp;$B17&amp;$C17&amp;$D17,'nres bld data'!$T$3:$T$254),0)</f>
        <v>0</v>
      </c>
      <c r="AA17" s="116">
        <f ca="1">IFERROR(SUMIF('nres bld data'!$V$3:$V$254,"="&amp;$B17&amp;$C17&amp;$D17,'nres bld data'!P$3:P$254)/SUMIF('nres bld data'!$W$256:$W$297,"="&amp;$B17&amp;$C17,'nres bld data'!P$256:P$297),0)</f>
        <v>0</v>
      </c>
      <c r="AB17" s="116">
        <f ca="1">IFERROR(SUMIF('nres bld data'!$V$3:$V$254,"="&amp;$B17&amp;$C17&amp;$D17,'nres bld data'!Q$3:Q$254)/SUMIF('nres bld data'!$W$256:$W$297,"="&amp;$B17&amp;$C17,'nres bld data'!Q$256:Q$297),0)</f>
        <v>0</v>
      </c>
    </row>
    <row r="18" spans="2:28">
      <c r="B18" s="20" t="s">
        <v>5</v>
      </c>
      <c r="C18" s="20" t="s">
        <v>458</v>
      </c>
      <c r="D18" s="20" t="s">
        <v>440</v>
      </c>
      <c r="E18" s="55">
        <f t="shared" ca="1" si="0"/>
        <v>0</v>
      </c>
      <c r="F18" s="55">
        <f t="shared" ca="1" si="1"/>
        <v>0</v>
      </c>
      <c r="G18" s="21">
        <f>IFERROR(SUMIF('nres bld data'!$A$3:$A$38,B18&amp;C18,'nres bld data'!$D$3:$D$38),0)</f>
        <v>0</v>
      </c>
      <c r="H18" s="21">
        <f t="shared" ref="H18:I18" ca="1" si="22">$T18*U18</f>
        <v>0</v>
      </c>
      <c r="I18" s="21">
        <f t="shared" ca="1" si="22"/>
        <v>0</v>
      </c>
      <c r="J18" s="21"/>
      <c r="K18" s="21"/>
      <c r="S18" s="115"/>
      <c r="T18" s="22">
        <f ca="1">G18/SUMIF('nres bld data'!$B$3:$B$38,$B18,'nres bld data'!$D$3:$D$38)</f>
        <v>0</v>
      </c>
      <c r="U18" s="21">
        <f>SUMIFS('Projections by County'!$D$10:$D$36,'Projections by County'!$A$10:$A$36,$B18,'Projections by County'!$C$10:$C$36,"Electricity (kWh)",'Projections by County'!$B$10:$B$36,"Commercial")*BTU_per_kWh/1000000</f>
        <v>1788587.91761964</v>
      </c>
      <c r="V18" s="21">
        <f>SUMIFS('Projections by County'!$D$10:$D$36,'Projections by County'!$A$10:$A$36,$B18,'Projections by County'!$C$10:$C$36,"Natural Gas",'Projections by County'!$B$10:$B$36,"Commercial")</f>
        <v>2153065.0279999999</v>
      </c>
      <c r="W18" s="116"/>
      <c r="X18" s="116">
        <f>IFERROR(SUMIF('nres bld data'!$V$3:$V$254,"="&amp;$B18&amp;$C18&amp;$D18,'nres bld data'!P$3:P$254)/SUMIF('nres bld data'!$V$3:$V$254,"="&amp;$B18&amp;$C18&amp;$D18,'nres bld data'!$T$3:$T$254),0)</f>
        <v>0</v>
      </c>
      <c r="Y18" s="116">
        <f>IFERROR(SUMIF('nres bld data'!$V$3:$V$254,"="&amp;$B18&amp;$C18&amp;$D18,'nres bld data'!Q$3:Q$254)/SUMIF('nres bld data'!$V$3:$V$254,"="&amp;$B18&amp;$C18&amp;$D18,'nres bld data'!$T$3:$T$254),0)</f>
        <v>0</v>
      </c>
      <c r="AA18" s="116">
        <f ca="1">IFERROR(SUMIF('nres bld data'!$V$3:$V$254,"="&amp;$B18&amp;$C18&amp;$D18,'nres bld data'!P$3:P$254)/SUMIF('nres bld data'!$W$256:$W$297,"="&amp;$B18&amp;$C18,'nres bld data'!P$256:P$297),0)</f>
        <v>0</v>
      </c>
      <c r="AB18" s="116">
        <f ca="1">IFERROR(SUMIF('nres bld data'!$V$3:$V$254,"="&amp;$B18&amp;$C18&amp;$D18,'nres bld data'!Q$3:Q$254)/SUMIF('nres bld data'!$W$256:$W$297,"="&amp;$B18&amp;$C18,'nres bld data'!Q$256:Q$297),0)</f>
        <v>0</v>
      </c>
    </row>
    <row r="19" spans="2:28">
      <c r="B19" s="20" t="s">
        <v>5</v>
      </c>
      <c r="C19" s="20" t="s">
        <v>458</v>
      </c>
      <c r="D19" s="20" t="s">
        <v>443</v>
      </c>
      <c r="E19" s="55">
        <f t="shared" ca="1" si="0"/>
        <v>0</v>
      </c>
      <c r="F19" s="55">
        <f t="shared" ca="1" si="1"/>
        <v>0</v>
      </c>
      <c r="G19" s="21">
        <f>IFERROR(SUMIF('nres bld data'!$A$3:$A$38,B19&amp;C19,'nres bld data'!$D$3:$D$38),0)</f>
        <v>0</v>
      </c>
      <c r="H19" s="21">
        <f t="shared" ref="H19:I19" ca="1" si="23">$T19*U19</f>
        <v>0</v>
      </c>
      <c r="I19" s="21">
        <f t="shared" ca="1" si="23"/>
        <v>0</v>
      </c>
      <c r="J19" s="21"/>
      <c r="K19" s="21"/>
      <c r="S19" s="115"/>
      <c r="T19" s="22">
        <f ca="1">G19/SUMIF('nres bld data'!$B$3:$B$38,$B19,'nres bld data'!$D$3:$D$38)</f>
        <v>0</v>
      </c>
      <c r="U19" s="21">
        <f>SUMIFS('Projections by County'!$D$10:$D$36,'Projections by County'!$A$10:$A$36,$B19,'Projections by County'!$C$10:$C$36,"Electricity (kWh)",'Projections by County'!$B$10:$B$36,"Commercial")*BTU_per_kWh/1000000</f>
        <v>1788587.91761964</v>
      </c>
      <c r="V19" s="21">
        <f>SUMIFS('Projections by County'!$D$10:$D$36,'Projections by County'!$A$10:$A$36,$B19,'Projections by County'!$C$10:$C$36,"Natural Gas",'Projections by County'!$B$10:$B$36,"Commercial")</f>
        <v>2153065.0279999999</v>
      </c>
      <c r="W19" s="116"/>
      <c r="X19" s="116">
        <f>IFERROR(SUMIF('nres bld data'!$V$3:$V$254,"="&amp;$B19&amp;$C19&amp;$D19,'nres bld data'!P$3:P$254)/SUMIF('nres bld data'!$V$3:$V$254,"="&amp;$B19&amp;$C19&amp;$D19,'nres bld data'!$T$3:$T$254),0)</f>
        <v>0</v>
      </c>
      <c r="Y19" s="116">
        <f>IFERROR(SUMIF('nres bld data'!$V$3:$V$254,"="&amp;$B19&amp;$C19&amp;$D19,'nres bld data'!Q$3:Q$254)/SUMIF('nres bld data'!$V$3:$V$254,"="&amp;$B19&amp;$C19&amp;$D19,'nres bld data'!$T$3:$T$254),0)</f>
        <v>0</v>
      </c>
      <c r="AA19" s="116">
        <f ca="1">IFERROR(SUMIF('nres bld data'!$V$3:$V$254,"="&amp;$B19&amp;$C19&amp;$D19,'nres bld data'!P$3:P$254)/SUMIF('nres bld data'!$W$256:$W$297,"="&amp;$B19&amp;$C19,'nres bld data'!P$256:P$297),0)</f>
        <v>0</v>
      </c>
      <c r="AB19" s="116">
        <f ca="1">IFERROR(SUMIF('nres bld data'!$V$3:$V$254,"="&amp;$B19&amp;$C19&amp;$D19,'nres bld data'!Q$3:Q$254)/SUMIF('nres bld data'!$W$256:$W$297,"="&amp;$B19&amp;$C19,'nres bld data'!Q$256:Q$297),0)</f>
        <v>0</v>
      </c>
    </row>
    <row r="20" spans="2:28">
      <c r="B20" s="20" t="s">
        <v>5</v>
      </c>
      <c r="C20" s="20" t="s">
        <v>458</v>
      </c>
      <c r="D20" s="20" t="s">
        <v>445</v>
      </c>
      <c r="E20" s="55">
        <f t="shared" ca="1" si="0"/>
        <v>0</v>
      </c>
      <c r="F20" s="55">
        <f t="shared" ca="1" si="1"/>
        <v>0</v>
      </c>
      <c r="G20" s="21">
        <f>IFERROR(SUMIF('nres bld data'!$A$3:$A$38,B20&amp;C20,'nres bld data'!$D$3:$D$38),0)</f>
        <v>0</v>
      </c>
      <c r="H20" s="21">
        <f t="shared" ref="H20:I20" ca="1" si="24">$T20*U20</f>
        <v>0</v>
      </c>
      <c r="I20" s="21">
        <f t="shared" ca="1" si="24"/>
        <v>0</v>
      </c>
      <c r="J20" s="21"/>
      <c r="K20" s="21"/>
      <c r="S20" s="115"/>
      <c r="T20" s="22">
        <f ca="1">G20/SUMIF('nres bld data'!$B$3:$B$38,$B20,'nres bld data'!$D$3:$D$38)</f>
        <v>0</v>
      </c>
      <c r="U20" s="21">
        <f>SUMIFS('Projections by County'!$D$10:$D$36,'Projections by County'!$A$10:$A$36,$B20,'Projections by County'!$C$10:$C$36,"Electricity (kWh)",'Projections by County'!$B$10:$B$36,"Commercial")*BTU_per_kWh/1000000</f>
        <v>1788587.91761964</v>
      </c>
      <c r="V20" s="21">
        <f>SUMIFS('Projections by County'!$D$10:$D$36,'Projections by County'!$A$10:$A$36,$B20,'Projections by County'!$C$10:$C$36,"Natural Gas",'Projections by County'!$B$10:$B$36,"Commercial")</f>
        <v>2153065.0279999999</v>
      </c>
      <c r="W20" s="116"/>
      <c r="X20" s="116">
        <f>IFERROR(SUMIF('nres bld data'!$V$3:$V$254,"="&amp;$B20&amp;$C20&amp;$D20,'nres bld data'!P$3:P$254)/SUMIF('nres bld data'!$V$3:$V$254,"="&amp;$B20&amp;$C20&amp;$D20,'nres bld data'!$T$3:$T$254),0)</f>
        <v>0</v>
      </c>
      <c r="Y20" s="116">
        <f>IFERROR(SUMIF('nres bld data'!$V$3:$V$254,"="&amp;$B20&amp;$C20&amp;$D20,'nres bld data'!Q$3:Q$254)/SUMIF('nres bld data'!$V$3:$V$254,"="&amp;$B20&amp;$C20&amp;$D20,'nres bld data'!$T$3:$T$254),0)</f>
        <v>0</v>
      </c>
      <c r="AA20" s="116">
        <f ca="1">IFERROR(SUMIF('nres bld data'!$V$3:$V$254,"="&amp;$B20&amp;$C20&amp;$D20,'nres bld data'!P$3:P$254)/SUMIF('nres bld data'!$W$256:$W$297,"="&amp;$B20&amp;$C20,'nres bld data'!P$256:P$297),0)</f>
        <v>0</v>
      </c>
      <c r="AB20" s="116">
        <f ca="1">IFERROR(SUMIF('nres bld data'!$V$3:$V$254,"="&amp;$B20&amp;$C20&amp;$D20,'nres bld data'!Q$3:Q$254)/SUMIF('nres bld data'!$W$256:$W$297,"="&amp;$B20&amp;$C20,'nres bld data'!Q$256:Q$297),0)</f>
        <v>0</v>
      </c>
    </row>
    <row r="21" spans="2:28">
      <c r="B21" s="20" t="s">
        <v>5</v>
      </c>
      <c r="C21" s="20" t="s">
        <v>460</v>
      </c>
      <c r="D21" s="20" t="s">
        <v>429</v>
      </c>
      <c r="E21" s="55">
        <f t="shared" ca="1" si="0"/>
        <v>0</v>
      </c>
      <c r="F21" s="55">
        <f t="shared" ca="1" si="1"/>
        <v>0</v>
      </c>
      <c r="G21" s="21">
        <f>IFERROR(SUMIF('nres bld data'!$A$3:$A$38,B21&amp;C21,'nres bld data'!$D$3:$D$38),0)</f>
        <v>0</v>
      </c>
      <c r="H21" s="21">
        <f t="shared" ref="H21:I21" ca="1" si="25">$T21*U21</f>
        <v>0</v>
      </c>
      <c r="I21" s="21">
        <f t="shared" ca="1" si="25"/>
        <v>0</v>
      </c>
      <c r="J21" s="21"/>
      <c r="K21" s="21"/>
      <c r="S21" s="115"/>
      <c r="T21" s="22">
        <f ca="1">G21/SUMIF('nres bld data'!$B$3:$B$38,$B21,'nres bld data'!$D$3:$D$38)</f>
        <v>0</v>
      </c>
      <c r="U21" s="21">
        <f>SUMIFS('Projections by County'!$D$10:$D$36,'Projections by County'!$A$10:$A$36,$B21,'Projections by County'!$C$10:$C$36,"Electricity (kWh)",'Projections by County'!$B$10:$B$36,"Commercial")*BTU_per_kWh/1000000</f>
        <v>1788587.91761964</v>
      </c>
      <c r="V21" s="21">
        <f>SUMIFS('Projections by County'!$D$10:$D$36,'Projections by County'!$A$10:$A$36,$B21,'Projections by County'!$C$10:$C$36,"Natural Gas",'Projections by County'!$B$10:$B$36,"Commercial")</f>
        <v>2153065.0279999999</v>
      </c>
      <c r="W21" s="116"/>
      <c r="X21" s="116">
        <f>IFERROR(SUMIF('nres bld data'!$V$3:$V$254,"="&amp;$B21&amp;$C21&amp;$D21,'nres bld data'!P$3:P$254)/SUMIF('nres bld data'!$V$3:$V$254,"="&amp;$B21&amp;$C21&amp;$D21,'nres bld data'!$T$3:$T$254),0)</f>
        <v>0</v>
      </c>
      <c r="Y21" s="116">
        <f>IFERROR(SUMIF('nres bld data'!$V$3:$V$254,"="&amp;$B21&amp;$C21&amp;$D21,'nres bld data'!Q$3:Q$254)/SUMIF('nres bld data'!$V$3:$V$254,"="&amp;$B21&amp;$C21&amp;$D21,'nres bld data'!$T$3:$T$254),0)</f>
        <v>0</v>
      </c>
      <c r="AA21" s="116">
        <f ca="1">IFERROR(SUMIF('nres bld data'!$V$3:$V$254,"="&amp;$B21&amp;$C21&amp;$D21,'nres bld data'!P$3:P$254)/SUMIF('nres bld data'!$W$256:$W$297,"="&amp;$B21&amp;$C21,'nres bld data'!P$256:P$297),0)</f>
        <v>0</v>
      </c>
      <c r="AB21" s="116">
        <f ca="1">IFERROR(SUMIF('nres bld data'!$V$3:$V$254,"="&amp;$B21&amp;$C21&amp;$D21,'nres bld data'!Q$3:Q$254)/SUMIF('nres bld data'!$W$256:$W$297,"="&amp;$B21&amp;$C21,'nres bld data'!Q$256:Q$297),0)</f>
        <v>0</v>
      </c>
    </row>
    <row r="22" spans="2:28">
      <c r="B22" s="20" t="s">
        <v>5</v>
      </c>
      <c r="C22" s="20" t="s">
        <v>460</v>
      </c>
      <c r="D22" s="20" t="s">
        <v>433</v>
      </c>
      <c r="E22" s="55">
        <f t="shared" ca="1" si="0"/>
        <v>0</v>
      </c>
      <c r="F22" s="55">
        <f t="shared" ca="1" si="1"/>
        <v>0</v>
      </c>
      <c r="G22" s="21">
        <f>IFERROR(SUMIF('nres bld data'!$A$3:$A$38,B22&amp;C22,'nres bld data'!$D$3:$D$38),0)</f>
        <v>0</v>
      </c>
      <c r="H22" s="21">
        <f t="shared" ref="H22:I22" ca="1" si="26">$T22*U22</f>
        <v>0</v>
      </c>
      <c r="I22" s="21">
        <f t="shared" ca="1" si="26"/>
        <v>0</v>
      </c>
      <c r="J22" s="21"/>
      <c r="K22" s="21"/>
      <c r="S22" s="115"/>
      <c r="T22" s="22">
        <f ca="1">G22/SUMIF('nres bld data'!$B$3:$B$38,$B22,'nres bld data'!$D$3:$D$38)</f>
        <v>0</v>
      </c>
      <c r="U22" s="21">
        <f>SUMIFS('Projections by County'!$D$10:$D$36,'Projections by County'!$A$10:$A$36,$B22,'Projections by County'!$C$10:$C$36,"Electricity (kWh)",'Projections by County'!$B$10:$B$36,"Commercial")*BTU_per_kWh/1000000</f>
        <v>1788587.91761964</v>
      </c>
      <c r="V22" s="21">
        <f>SUMIFS('Projections by County'!$D$10:$D$36,'Projections by County'!$A$10:$A$36,$B22,'Projections by County'!$C$10:$C$36,"Natural Gas",'Projections by County'!$B$10:$B$36,"Commercial")</f>
        <v>2153065.0279999999</v>
      </c>
      <c r="W22" s="116"/>
      <c r="X22" s="116">
        <f>IFERROR(SUMIF('nres bld data'!$V$3:$V$254,"="&amp;$B22&amp;$C22&amp;$D22,'nres bld data'!P$3:P$254)/SUMIF('nres bld data'!$V$3:$V$254,"="&amp;$B22&amp;$C22&amp;$D22,'nres bld data'!$T$3:$T$254),0)</f>
        <v>0</v>
      </c>
      <c r="Y22" s="116">
        <f>IFERROR(SUMIF('nres bld data'!$V$3:$V$254,"="&amp;$B22&amp;$C22&amp;$D22,'nres bld data'!Q$3:Q$254)/SUMIF('nres bld data'!$V$3:$V$254,"="&amp;$B22&amp;$C22&amp;$D22,'nres bld data'!$T$3:$T$254),0)</f>
        <v>0</v>
      </c>
      <c r="AA22" s="116">
        <f ca="1">IFERROR(SUMIF('nres bld data'!$V$3:$V$254,"="&amp;$B22&amp;$C22&amp;$D22,'nres bld data'!P$3:P$254)/SUMIF('nres bld data'!$W$256:$W$297,"="&amp;$B22&amp;$C22,'nres bld data'!P$256:P$297),0)</f>
        <v>0</v>
      </c>
      <c r="AB22" s="116">
        <f ca="1">IFERROR(SUMIF('nres bld data'!$V$3:$V$254,"="&amp;$B22&amp;$C22&amp;$D22,'nres bld data'!Q$3:Q$254)/SUMIF('nres bld data'!$W$256:$W$297,"="&amp;$B22&amp;$C22,'nres bld data'!Q$256:Q$297),0)</f>
        <v>0</v>
      </c>
    </row>
    <row r="23" spans="2:28">
      <c r="B23" s="20" t="s">
        <v>5</v>
      </c>
      <c r="C23" s="20" t="s">
        <v>460</v>
      </c>
      <c r="D23" s="20" t="s">
        <v>437</v>
      </c>
      <c r="E23" s="55">
        <f t="shared" ca="1" si="0"/>
        <v>0</v>
      </c>
      <c r="F23" s="55">
        <f t="shared" ca="1" si="1"/>
        <v>0</v>
      </c>
      <c r="G23" s="21">
        <f>IFERROR(SUMIF('nres bld data'!$A$3:$A$38,B23&amp;C23,'nres bld data'!$D$3:$D$38),0)</f>
        <v>0</v>
      </c>
      <c r="H23" s="21">
        <f t="shared" ref="H23:I23" ca="1" si="27">$T23*U23</f>
        <v>0</v>
      </c>
      <c r="I23" s="21">
        <f t="shared" ca="1" si="27"/>
        <v>0</v>
      </c>
      <c r="J23" s="21"/>
      <c r="K23" s="21"/>
      <c r="S23" s="115"/>
      <c r="T23" s="22">
        <f ca="1">G23/SUMIF('nres bld data'!$B$3:$B$38,$B23,'nres bld data'!$D$3:$D$38)</f>
        <v>0</v>
      </c>
      <c r="U23" s="21">
        <f>SUMIFS('Projections by County'!$D$10:$D$36,'Projections by County'!$A$10:$A$36,$B23,'Projections by County'!$C$10:$C$36,"Electricity (kWh)",'Projections by County'!$B$10:$B$36,"Commercial")*BTU_per_kWh/1000000</f>
        <v>1788587.91761964</v>
      </c>
      <c r="V23" s="21">
        <f>SUMIFS('Projections by County'!$D$10:$D$36,'Projections by County'!$A$10:$A$36,$B23,'Projections by County'!$C$10:$C$36,"Natural Gas",'Projections by County'!$B$10:$B$36,"Commercial")</f>
        <v>2153065.0279999999</v>
      </c>
      <c r="W23" s="116"/>
      <c r="X23" s="116">
        <f>IFERROR(SUMIF('nres bld data'!$V$3:$V$254,"="&amp;$B23&amp;$C23&amp;$D23,'nres bld data'!P$3:P$254)/SUMIF('nres bld data'!$V$3:$V$254,"="&amp;$B23&amp;$C23&amp;$D23,'nres bld data'!$T$3:$T$254),0)</f>
        <v>0</v>
      </c>
      <c r="Y23" s="116">
        <f>IFERROR(SUMIF('nres bld data'!$V$3:$V$254,"="&amp;$B23&amp;$C23&amp;$D23,'nres bld data'!Q$3:Q$254)/SUMIF('nres bld data'!$V$3:$V$254,"="&amp;$B23&amp;$C23&amp;$D23,'nres bld data'!$T$3:$T$254),0)</f>
        <v>0</v>
      </c>
      <c r="AA23" s="116">
        <f ca="1">IFERROR(SUMIF('nres bld data'!$V$3:$V$254,"="&amp;$B23&amp;$C23&amp;$D23,'nres bld data'!P$3:P$254)/SUMIF('nres bld data'!$W$256:$W$297,"="&amp;$B23&amp;$C23,'nres bld data'!P$256:P$297),0)</f>
        <v>0</v>
      </c>
      <c r="AB23" s="116">
        <f ca="1">IFERROR(SUMIF('nres bld data'!$V$3:$V$254,"="&amp;$B23&amp;$C23&amp;$D23,'nres bld data'!Q$3:Q$254)/SUMIF('nres bld data'!$W$256:$W$297,"="&amp;$B23&amp;$C23,'nres bld data'!Q$256:Q$297),0)</f>
        <v>0</v>
      </c>
    </row>
    <row r="24" spans="2:28">
      <c r="B24" s="20" t="s">
        <v>5</v>
      </c>
      <c r="C24" s="20" t="s">
        <v>460</v>
      </c>
      <c r="D24" s="20" t="s">
        <v>440</v>
      </c>
      <c r="E24" s="55">
        <f t="shared" ca="1" si="0"/>
        <v>0</v>
      </c>
      <c r="F24" s="55">
        <f t="shared" ca="1" si="1"/>
        <v>0</v>
      </c>
      <c r="G24" s="21">
        <f>IFERROR(SUMIF('nres bld data'!$A$3:$A$38,B24&amp;C24,'nres bld data'!$D$3:$D$38),0)</f>
        <v>0</v>
      </c>
      <c r="H24" s="21">
        <f t="shared" ref="H24:I24" ca="1" si="28">$T24*U24</f>
        <v>0</v>
      </c>
      <c r="I24" s="21">
        <f t="shared" ca="1" si="28"/>
        <v>0</v>
      </c>
      <c r="J24" s="21"/>
      <c r="K24" s="21"/>
      <c r="S24" s="115"/>
      <c r="T24" s="22">
        <f ca="1">G24/SUMIF('nres bld data'!$B$3:$B$38,$B24,'nres bld data'!$D$3:$D$38)</f>
        <v>0</v>
      </c>
      <c r="U24" s="21">
        <f>SUMIFS('Projections by County'!$D$10:$D$36,'Projections by County'!$A$10:$A$36,$B24,'Projections by County'!$C$10:$C$36,"Electricity (kWh)",'Projections by County'!$B$10:$B$36,"Commercial")*BTU_per_kWh/1000000</f>
        <v>1788587.91761964</v>
      </c>
      <c r="V24" s="21">
        <f>SUMIFS('Projections by County'!$D$10:$D$36,'Projections by County'!$A$10:$A$36,$B24,'Projections by County'!$C$10:$C$36,"Natural Gas",'Projections by County'!$B$10:$B$36,"Commercial")</f>
        <v>2153065.0279999999</v>
      </c>
      <c r="W24" s="116"/>
      <c r="X24" s="116">
        <f>IFERROR(SUMIF('nres bld data'!$V$3:$V$254,"="&amp;$B24&amp;$C24&amp;$D24,'nres bld data'!P$3:P$254)/SUMIF('nres bld data'!$V$3:$V$254,"="&amp;$B24&amp;$C24&amp;$D24,'nres bld data'!$T$3:$T$254),0)</f>
        <v>0</v>
      </c>
      <c r="Y24" s="116">
        <f>IFERROR(SUMIF('nres bld data'!$V$3:$V$254,"="&amp;$B24&amp;$C24&amp;$D24,'nres bld data'!Q$3:Q$254)/SUMIF('nres bld data'!$V$3:$V$254,"="&amp;$B24&amp;$C24&amp;$D24,'nres bld data'!$T$3:$T$254),0)</f>
        <v>0</v>
      </c>
      <c r="AA24" s="116">
        <f ca="1">IFERROR(SUMIF('nres bld data'!$V$3:$V$254,"="&amp;$B24&amp;$C24&amp;$D24,'nres bld data'!P$3:P$254)/SUMIF('nres bld data'!$W$256:$W$297,"="&amp;$B24&amp;$C24,'nres bld data'!P$256:P$297),0)</f>
        <v>0</v>
      </c>
      <c r="AB24" s="116">
        <f ca="1">IFERROR(SUMIF('nres bld data'!$V$3:$V$254,"="&amp;$B24&amp;$C24&amp;$D24,'nres bld data'!Q$3:Q$254)/SUMIF('nres bld data'!$W$256:$W$297,"="&amp;$B24&amp;$C24,'nres bld data'!Q$256:Q$297),0)</f>
        <v>0</v>
      </c>
    </row>
    <row r="25" spans="2:28">
      <c r="B25" s="20" t="s">
        <v>5</v>
      </c>
      <c r="C25" s="20" t="s">
        <v>460</v>
      </c>
      <c r="D25" s="20" t="s">
        <v>443</v>
      </c>
      <c r="E25" s="55">
        <f t="shared" ca="1" si="0"/>
        <v>0</v>
      </c>
      <c r="F25" s="55">
        <f t="shared" ca="1" si="1"/>
        <v>0</v>
      </c>
      <c r="G25" s="21">
        <f>IFERROR(SUMIF('nres bld data'!$A$3:$A$38,B25&amp;C25,'nres bld data'!$D$3:$D$38),0)</f>
        <v>0</v>
      </c>
      <c r="H25" s="21">
        <f t="shared" ref="H25:I25" ca="1" si="29">$T25*U25</f>
        <v>0</v>
      </c>
      <c r="I25" s="21">
        <f t="shared" ca="1" si="29"/>
        <v>0</v>
      </c>
      <c r="J25" s="21"/>
      <c r="K25" s="21"/>
      <c r="S25" s="115"/>
      <c r="T25" s="22">
        <f ca="1">G25/SUMIF('nres bld data'!$B$3:$B$38,$B25,'nres bld data'!$D$3:$D$38)</f>
        <v>0</v>
      </c>
      <c r="U25" s="21">
        <f>SUMIFS('Projections by County'!$D$10:$D$36,'Projections by County'!$A$10:$A$36,$B25,'Projections by County'!$C$10:$C$36,"Electricity (kWh)",'Projections by County'!$B$10:$B$36,"Commercial")*BTU_per_kWh/1000000</f>
        <v>1788587.91761964</v>
      </c>
      <c r="V25" s="21">
        <f>SUMIFS('Projections by County'!$D$10:$D$36,'Projections by County'!$A$10:$A$36,$B25,'Projections by County'!$C$10:$C$36,"Natural Gas",'Projections by County'!$B$10:$B$36,"Commercial")</f>
        <v>2153065.0279999999</v>
      </c>
      <c r="W25" s="116"/>
      <c r="X25" s="116">
        <f>IFERROR(SUMIF('nres bld data'!$V$3:$V$254,"="&amp;$B25&amp;$C25&amp;$D25,'nres bld data'!P$3:P$254)/SUMIF('nres bld data'!$V$3:$V$254,"="&amp;$B25&amp;$C25&amp;$D25,'nres bld data'!$T$3:$T$254),0)</f>
        <v>0</v>
      </c>
      <c r="Y25" s="116">
        <f>IFERROR(SUMIF('nres bld data'!$V$3:$V$254,"="&amp;$B25&amp;$C25&amp;$D25,'nres bld data'!Q$3:Q$254)/SUMIF('nres bld data'!$V$3:$V$254,"="&amp;$B25&amp;$C25&amp;$D25,'nres bld data'!$T$3:$T$254),0)</f>
        <v>0</v>
      </c>
      <c r="AA25" s="116">
        <f ca="1">IFERROR(SUMIF('nres bld data'!$V$3:$V$254,"="&amp;$B25&amp;$C25&amp;$D25,'nres bld data'!P$3:P$254)/SUMIF('nres bld data'!$W$256:$W$297,"="&amp;$B25&amp;$C25,'nres bld data'!P$256:P$297),0)</f>
        <v>0</v>
      </c>
      <c r="AB25" s="116">
        <f ca="1">IFERROR(SUMIF('nres bld data'!$V$3:$V$254,"="&amp;$B25&amp;$C25&amp;$D25,'nres bld data'!Q$3:Q$254)/SUMIF('nres bld data'!$W$256:$W$297,"="&amp;$B25&amp;$C25,'nres bld data'!Q$256:Q$297),0)</f>
        <v>0</v>
      </c>
    </row>
    <row r="26" spans="2:28">
      <c r="B26" s="20" t="s">
        <v>5</v>
      </c>
      <c r="C26" s="20" t="s">
        <v>460</v>
      </c>
      <c r="D26" s="20" t="s">
        <v>445</v>
      </c>
      <c r="E26" s="55">
        <f t="shared" ca="1" si="0"/>
        <v>0</v>
      </c>
      <c r="F26" s="55">
        <f t="shared" ca="1" si="1"/>
        <v>0</v>
      </c>
      <c r="G26" s="21">
        <f>IFERROR(SUMIF('nres bld data'!$A$3:$A$38,B26&amp;C26,'nres bld data'!$D$3:$D$38),0)</f>
        <v>0</v>
      </c>
      <c r="H26" s="21">
        <f t="shared" ref="H26:I26" ca="1" si="30">$T26*U26</f>
        <v>0</v>
      </c>
      <c r="I26" s="21">
        <f t="shared" ca="1" si="30"/>
        <v>0</v>
      </c>
      <c r="J26" s="21"/>
      <c r="K26" s="21"/>
      <c r="S26" s="115"/>
      <c r="T26" s="22">
        <f ca="1">G26/SUMIF('nres bld data'!$B$3:$B$38,$B26,'nres bld data'!$D$3:$D$38)</f>
        <v>0</v>
      </c>
      <c r="U26" s="21">
        <f>SUMIFS('Projections by County'!$D$10:$D$36,'Projections by County'!$A$10:$A$36,$B26,'Projections by County'!$C$10:$C$36,"Electricity (kWh)",'Projections by County'!$B$10:$B$36,"Commercial")*BTU_per_kWh/1000000</f>
        <v>1788587.91761964</v>
      </c>
      <c r="V26" s="21">
        <f>SUMIFS('Projections by County'!$D$10:$D$36,'Projections by County'!$A$10:$A$36,$B26,'Projections by County'!$C$10:$C$36,"Natural Gas",'Projections by County'!$B$10:$B$36,"Commercial")</f>
        <v>2153065.0279999999</v>
      </c>
      <c r="W26" s="116"/>
      <c r="X26" s="116">
        <f>IFERROR(SUMIF('nres bld data'!$V$3:$V$254,"="&amp;$B26&amp;$C26&amp;$D26,'nres bld data'!P$3:P$254)/SUMIF('nres bld data'!$V$3:$V$254,"="&amp;$B26&amp;$C26&amp;$D26,'nres bld data'!$T$3:$T$254),0)</f>
        <v>0</v>
      </c>
      <c r="Y26" s="116">
        <f>IFERROR(SUMIF('nres bld data'!$V$3:$V$254,"="&amp;$B26&amp;$C26&amp;$D26,'nres bld data'!Q$3:Q$254)/SUMIF('nres bld data'!$V$3:$V$254,"="&amp;$B26&amp;$C26&amp;$D26,'nres bld data'!$T$3:$T$254),0)</f>
        <v>0</v>
      </c>
      <c r="AA26" s="116">
        <f ca="1">IFERROR(SUMIF('nres bld data'!$V$3:$V$254,"="&amp;$B26&amp;$C26&amp;$D26,'nres bld data'!P$3:P$254)/SUMIF('nres bld data'!$W$256:$W$297,"="&amp;$B26&amp;$C26,'nres bld data'!P$256:P$297),0)</f>
        <v>0</v>
      </c>
      <c r="AB26" s="116">
        <f ca="1">IFERROR(SUMIF('nres bld data'!$V$3:$V$254,"="&amp;$B26&amp;$C26&amp;$D26,'nres bld data'!Q$3:Q$254)/SUMIF('nres bld data'!$W$256:$W$297,"="&amp;$B26&amp;$C26,'nres bld data'!Q$256:Q$297),0)</f>
        <v>0</v>
      </c>
    </row>
    <row r="27" spans="2:28">
      <c r="B27" s="20" t="s">
        <v>5</v>
      </c>
      <c r="C27" s="20" t="s">
        <v>434</v>
      </c>
      <c r="D27" s="20" t="s">
        <v>429</v>
      </c>
      <c r="E27" s="55">
        <f t="shared" ca="1" si="0"/>
        <v>1.5932839834786931E-2</v>
      </c>
      <c r="F27" s="55">
        <f t="shared" ca="1" si="1"/>
        <v>0</v>
      </c>
      <c r="G27" s="21">
        <f ca="1">IFERROR(SUMIF('nres bld data'!$A$3:$A$38,B27&amp;C27,'nres bld data'!$D$3:$D$38),0)</f>
        <v>14261377</v>
      </c>
      <c r="H27" s="21">
        <f t="shared" ref="H27:I27" ca="1" si="31">$T27*U27</f>
        <v>479043.78977840213</v>
      </c>
      <c r="I27" s="21">
        <f t="shared" ca="1" si="31"/>
        <v>576662.9755752387</v>
      </c>
      <c r="J27" s="21"/>
      <c r="K27" s="21"/>
      <c r="S27" s="115"/>
      <c r="T27" s="22">
        <f ca="1">G27/SUMIF('nres bld data'!$B$3:$B$38,$B27,'nres bld data'!$D$3:$D$38)</f>
        <v>0.267833515512026</v>
      </c>
      <c r="U27" s="21">
        <f>SUMIFS('Projections by County'!$D$10:$D$36,'Projections by County'!$A$10:$A$36,$B27,'Projections by County'!$C$10:$C$36,"Electricity (kWh)",'Projections by County'!$B$10:$B$36,"Commercial")*BTU_per_kWh/1000000</f>
        <v>1788587.91761964</v>
      </c>
      <c r="V27" s="21">
        <f>SUMIFS('Projections by County'!$D$10:$D$36,'Projections by County'!$A$10:$A$36,$B27,'Projections by County'!$C$10:$C$36,"Natural Gas",'Projections by County'!$B$10:$B$36,"Commercial")</f>
        <v>2153065.0279999999</v>
      </c>
      <c r="W27" s="116"/>
      <c r="X27" s="116">
        <f>IFERROR(SUMIF('nres bld data'!$V$3:$V$254,"="&amp;$B27&amp;$C27&amp;$D27,'nres bld data'!P$3:P$254)/SUMIF('nres bld data'!$V$3:$V$254,"="&amp;$B27&amp;$C27&amp;$D27,'nres bld data'!$T$3:$T$254),0)</f>
        <v>1</v>
      </c>
      <c r="Y27" s="116">
        <f>IFERROR(SUMIF('nres bld data'!$V$3:$V$254,"="&amp;$B27&amp;$C27&amp;$D27,'nres bld data'!Q$3:Q$254)/SUMIF('nres bld data'!$V$3:$V$254,"="&amp;$B27&amp;$C27&amp;$D27,'nres bld data'!$T$3:$T$254),0)</f>
        <v>0</v>
      </c>
      <c r="AA27" s="116">
        <f ca="1">IFERROR(SUMIF('nres bld data'!$V$3:$V$254,"="&amp;$B27&amp;$C27&amp;$D27,'nres bld data'!P$3:P$254)/SUMIF('nres bld data'!$W$256:$W$297,"="&amp;$B27&amp;$C27,'nres bld data'!P$256:P$297),0)</f>
        <v>0.47432873656419677</v>
      </c>
      <c r="AB27" s="116">
        <f ca="1">IFERROR(SUMIF('nres bld data'!$V$3:$V$254,"="&amp;$B27&amp;$C27&amp;$D27,'nres bld data'!Q$3:Q$254)/SUMIF('nres bld data'!$W$256:$W$297,"="&amp;$B27&amp;$C27,'nres bld data'!Q$256:Q$297),0)</f>
        <v>0</v>
      </c>
    </row>
    <row r="28" spans="2:28">
      <c r="B28" s="20" t="s">
        <v>5</v>
      </c>
      <c r="C28" s="20" t="s">
        <v>434</v>
      </c>
      <c r="D28" s="20" t="s">
        <v>433</v>
      </c>
      <c r="E28" s="55">
        <f t="shared" ca="1" si="0"/>
        <v>7.7325742777695607E-3</v>
      </c>
      <c r="F28" s="55">
        <f t="shared" ca="1" si="1"/>
        <v>0</v>
      </c>
      <c r="G28" s="21">
        <f ca="1">IFERROR(SUMIF('nres bld data'!$A$3:$A$38,B28&amp;C28,'nres bld data'!$D$3:$D$38),0)</f>
        <v>14261377</v>
      </c>
      <c r="H28" s="21">
        <f t="shared" ref="H28:I28" ca="1" si="32">$T28*U28</f>
        <v>479043.78977840213</v>
      </c>
      <c r="I28" s="21">
        <f t="shared" ca="1" si="32"/>
        <v>576662.9755752387</v>
      </c>
      <c r="J28" s="21"/>
      <c r="K28" s="21"/>
      <c r="S28" s="115"/>
      <c r="T28" s="22">
        <f ca="1">G28/SUMIF('nres bld data'!$B$3:$B$38,$B28,'nres bld data'!$D$3:$D$38)</f>
        <v>0.267833515512026</v>
      </c>
      <c r="U28" s="21">
        <f>SUMIFS('Projections by County'!$D$10:$D$36,'Projections by County'!$A$10:$A$36,$B28,'Projections by County'!$C$10:$C$36,"Electricity (kWh)",'Projections by County'!$B$10:$B$36,"Commercial")*BTU_per_kWh/1000000</f>
        <v>1788587.91761964</v>
      </c>
      <c r="V28" s="21">
        <f>SUMIFS('Projections by County'!$D$10:$D$36,'Projections by County'!$A$10:$A$36,$B28,'Projections by County'!$C$10:$C$36,"Natural Gas",'Projections by County'!$B$10:$B$36,"Commercial")</f>
        <v>2153065.0279999999</v>
      </c>
      <c r="W28" s="116"/>
      <c r="X28" s="116">
        <f>IFERROR(SUMIF('nres bld data'!$V$3:$V$254,"="&amp;$B28&amp;$C28&amp;$D28,'nres bld data'!P$3:P$254)/SUMIF('nres bld data'!$V$3:$V$254,"="&amp;$B28&amp;$C28&amp;$D28,'nres bld data'!$T$3:$T$254),0)</f>
        <v>1</v>
      </c>
      <c r="Y28" s="116">
        <f>IFERROR(SUMIF('nres bld data'!$V$3:$V$254,"="&amp;$B28&amp;$C28&amp;$D28,'nres bld data'!Q$3:Q$254)/SUMIF('nres bld data'!$V$3:$V$254,"="&amp;$B28&amp;$C28&amp;$D28,'nres bld data'!$T$3:$T$254),0)</f>
        <v>0</v>
      </c>
      <c r="AA28" s="116">
        <f ca="1">IFERROR(SUMIF('nres bld data'!$V$3:$V$254,"="&amp;$B28&amp;$C28&amp;$D28,'nres bld data'!P$3:P$254)/SUMIF('nres bld data'!$W$256:$W$297,"="&amp;$B28&amp;$C28,'nres bld data'!P$256:P$297),0)</f>
        <v>0.2302026647851689</v>
      </c>
      <c r="AB28" s="116">
        <f ca="1">IFERROR(SUMIF('nres bld data'!$V$3:$V$254,"="&amp;$B28&amp;$C28&amp;$D28,'nres bld data'!Q$3:Q$254)/SUMIF('nres bld data'!$W$256:$W$297,"="&amp;$B28&amp;$C28,'nres bld data'!Q$256:Q$297),0)</f>
        <v>0</v>
      </c>
    </row>
    <row r="29" spans="2:28">
      <c r="B29" s="20" t="s">
        <v>5</v>
      </c>
      <c r="C29" s="20" t="s">
        <v>434</v>
      </c>
      <c r="D29" s="20" t="s">
        <v>437</v>
      </c>
      <c r="E29" s="55">
        <f t="shared" ca="1" si="0"/>
        <v>4.6071655205372451E-3</v>
      </c>
      <c r="F29" s="55">
        <f t="shared" ca="1" si="1"/>
        <v>0</v>
      </c>
      <c r="G29" s="21">
        <f ca="1">IFERROR(SUMIF('nres bld data'!$A$3:$A$38,B29&amp;C29,'nres bld data'!$D$3:$D$38),0)</f>
        <v>14261377</v>
      </c>
      <c r="H29" s="21">
        <f t="shared" ref="H29:I29" ca="1" si="33">$T29*U29</f>
        <v>479043.78977840213</v>
      </c>
      <c r="I29" s="21">
        <f t="shared" ca="1" si="33"/>
        <v>576662.9755752387</v>
      </c>
      <c r="J29" s="21"/>
      <c r="K29" s="21"/>
      <c r="S29" s="115"/>
      <c r="T29" s="22">
        <f ca="1">G29/SUMIF('nres bld data'!$B$3:$B$38,$B29,'nres bld data'!$D$3:$D$38)</f>
        <v>0.267833515512026</v>
      </c>
      <c r="U29" s="21">
        <f>SUMIFS('Projections by County'!$D$10:$D$36,'Projections by County'!$A$10:$A$36,$B29,'Projections by County'!$C$10:$C$36,"Electricity (kWh)",'Projections by County'!$B$10:$B$36,"Commercial")*BTU_per_kWh/1000000</f>
        <v>1788587.91761964</v>
      </c>
      <c r="V29" s="21">
        <f>SUMIFS('Projections by County'!$D$10:$D$36,'Projections by County'!$A$10:$A$36,$B29,'Projections by County'!$C$10:$C$36,"Natural Gas",'Projections by County'!$B$10:$B$36,"Commercial")</f>
        <v>2153065.0279999999</v>
      </c>
      <c r="W29" s="116"/>
      <c r="X29" s="116">
        <f>IFERROR(SUMIF('nres bld data'!$V$3:$V$254,"="&amp;$B29&amp;$C29&amp;$D29,'nres bld data'!P$3:P$254)/SUMIF('nres bld data'!$V$3:$V$254,"="&amp;$B29&amp;$C29&amp;$D29,'nres bld data'!$T$3:$T$254),0)</f>
        <v>1</v>
      </c>
      <c r="Y29" s="116">
        <f>IFERROR(SUMIF('nres bld data'!$V$3:$V$254,"="&amp;$B29&amp;$C29&amp;$D29,'nres bld data'!Q$3:Q$254)/SUMIF('nres bld data'!$V$3:$V$254,"="&amp;$B29&amp;$C29&amp;$D29,'nres bld data'!$T$3:$T$254),0)</f>
        <v>0</v>
      </c>
      <c r="AA29" s="116">
        <f ca="1">IFERROR(SUMIF('nres bld data'!$V$3:$V$254,"="&amp;$B29&amp;$C29&amp;$D29,'nres bld data'!P$3:P$254)/SUMIF('nres bld data'!$W$256:$W$297,"="&amp;$B29&amp;$C29,'nres bld data'!P$256:P$297),0)</f>
        <v>0.1371576582177941</v>
      </c>
      <c r="AB29" s="116">
        <f ca="1">IFERROR(SUMIF('nres bld data'!$V$3:$V$254,"="&amp;$B29&amp;$C29&amp;$D29,'nres bld data'!Q$3:Q$254)/SUMIF('nres bld data'!$W$256:$W$297,"="&amp;$B29&amp;$C29,'nres bld data'!Q$256:Q$297),0)</f>
        <v>0</v>
      </c>
    </row>
    <row r="30" spans="2:28">
      <c r="B30" s="20" t="s">
        <v>5</v>
      </c>
      <c r="C30" s="20" t="s">
        <v>434</v>
      </c>
      <c r="D30" s="20" t="s">
        <v>440</v>
      </c>
      <c r="E30" s="55">
        <f t="shared" ca="1" si="0"/>
        <v>5.3177104054068988E-3</v>
      </c>
      <c r="F30" s="55">
        <f t="shared" ca="1" si="1"/>
        <v>0</v>
      </c>
      <c r="G30" s="21">
        <f ca="1">IFERROR(SUMIF('nres bld data'!$A$3:$A$38,B30&amp;C30,'nres bld data'!$D$3:$D$38),0)</f>
        <v>14261377</v>
      </c>
      <c r="H30" s="21">
        <f t="shared" ref="H30:I30" ca="1" si="34">$T30*U30</f>
        <v>479043.78977840213</v>
      </c>
      <c r="I30" s="21">
        <f t="shared" ca="1" si="34"/>
        <v>576662.9755752387</v>
      </c>
      <c r="J30" s="21"/>
      <c r="K30" s="21"/>
      <c r="S30" s="115"/>
      <c r="T30" s="22">
        <f ca="1">G30/SUMIF('nres bld data'!$B$3:$B$38,$B30,'nres bld data'!$D$3:$D$38)</f>
        <v>0.267833515512026</v>
      </c>
      <c r="U30" s="21">
        <f>SUMIFS('Projections by County'!$D$10:$D$36,'Projections by County'!$A$10:$A$36,$B30,'Projections by County'!$C$10:$C$36,"Electricity (kWh)",'Projections by County'!$B$10:$B$36,"Commercial")*BTU_per_kWh/1000000</f>
        <v>1788587.91761964</v>
      </c>
      <c r="V30" s="21">
        <f>SUMIFS('Projections by County'!$D$10:$D$36,'Projections by County'!$A$10:$A$36,$B30,'Projections by County'!$C$10:$C$36,"Natural Gas",'Projections by County'!$B$10:$B$36,"Commercial")</f>
        <v>2153065.0279999999</v>
      </c>
      <c r="W30" s="116"/>
      <c r="X30" s="116">
        <f>IFERROR(SUMIF('nres bld data'!$V$3:$V$254,"="&amp;$B30&amp;$C30&amp;$D30,'nres bld data'!P$3:P$254)/SUMIF('nres bld data'!$V$3:$V$254,"="&amp;$B30&amp;$C30&amp;$D30,'nres bld data'!$T$3:$T$254),0)</f>
        <v>1</v>
      </c>
      <c r="Y30" s="116">
        <f>IFERROR(SUMIF('nres bld data'!$V$3:$V$254,"="&amp;$B30&amp;$C30&amp;$D30,'nres bld data'!Q$3:Q$254)/SUMIF('nres bld data'!$V$3:$V$254,"="&amp;$B30&amp;$C30&amp;$D30,'nres bld data'!$T$3:$T$254),0)</f>
        <v>0</v>
      </c>
      <c r="AA30" s="116">
        <f ca="1">IFERROR(SUMIF('nres bld data'!$V$3:$V$254,"="&amp;$B30&amp;$C30&amp;$D30,'nres bld data'!P$3:P$254)/SUMIF('nres bld data'!$W$256:$W$297,"="&amp;$B30&amp;$C30,'nres bld data'!P$256:P$297),0)</f>
        <v>0.15831094043284016</v>
      </c>
      <c r="AB30" s="116">
        <f ca="1">IFERROR(SUMIF('nres bld data'!$V$3:$V$254,"="&amp;$B30&amp;$C30&amp;$D30,'nres bld data'!Q$3:Q$254)/SUMIF('nres bld data'!$W$256:$W$297,"="&amp;$B30&amp;$C30,'nres bld data'!Q$256:Q$297),0)</f>
        <v>0</v>
      </c>
    </row>
    <row r="31" spans="2:28">
      <c r="B31" s="20" t="s">
        <v>5</v>
      </c>
      <c r="C31" s="20" t="s">
        <v>434</v>
      </c>
      <c r="D31" s="20" t="s">
        <v>443</v>
      </c>
      <c r="E31" s="55">
        <f t="shared" ca="1" si="0"/>
        <v>0</v>
      </c>
      <c r="F31" s="55">
        <f t="shared" ca="1" si="1"/>
        <v>3.5793821979039957E-2</v>
      </c>
      <c r="G31" s="21">
        <f ca="1">IFERROR(SUMIF('nres bld data'!$A$3:$A$38,B31&amp;C31,'nres bld data'!$D$3:$D$38),0)</f>
        <v>14261377</v>
      </c>
      <c r="H31" s="21">
        <f t="shared" ref="H31:I31" ca="1" si="35">$T31*U31</f>
        <v>479043.78977840213</v>
      </c>
      <c r="I31" s="21">
        <f t="shared" ca="1" si="35"/>
        <v>576662.9755752387</v>
      </c>
      <c r="J31" s="21"/>
      <c r="K31" s="21"/>
      <c r="S31" s="115"/>
      <c r="T31" s="22">
        <f ca="1">G31/SUMIF('nres bld data'!$B$3:$B$38,$B31,'nres bld data'!$D$3:$D$38)</f>
        <v>0.267833515512026</v>
      </c>
      <c r="U31" s="21">
        <f>SUMIFS('Projections by County'!$D$10:$D$36,'Projections by County'!$A$10:$A$36,$B31,'Projections by County'!$C$10:$C$36,"Electricity (kWh)",'Projections by County'!$B$10:$B$36,"Commercial")*BTU_per_kWh/1000000</f>
        <v>1788587.91761964</v>
      </c>
      <c r="V31" s="21">
        <f>SUMIFS('Projections by County'!$D$10:$D$36,'Projections by County'!$A$10:$A$36,$B31,'Projections by County'!$C$10:$C$36,"Natural Gas",'Projections by County'!$B$10:$B$36,"Commercial")</f>
        <v>2153065.0279999999</v>
      </c>
      <c r="W31" s="116"/>
      <c r="X31" s="116">
        <f>IFERROR(SUMIF('nres bld data'!$V$3:$V$254,"="&amp;$B31&amp;$C31&amp;$D31,'nres bld data'!P$3:P$254)/SUMIF('nres bld data'!$V$3:$V$254,"="&amp;$B31&amp;$C31&amp;$D31,'nres bld data'!$T$3:$T$254),0)</f>
        <v>0</v>
      </c>
      <c r="Y31" s="116">
        <f>IFERROR(SUMIF('nres bld data'!$V$3:$V$254,"="&amp;$B31&amp;$C31&amp;$D31,'nres bld data'!Q$3:Q$254)/SUMIF('nres bld data'!$V$3:$V$254,"="&amp;$B31&amp;$C31&amp;$D31,'nres bld data'!$T$3:$T$254),0)</f>
        <v>1</v>
      </c>
      <c r="AA31" s="116">
        <f ca="1">IFERROR(SUMIF('nres bld data'!$V$3:$V$254,"="&amp;$B31&amp;$C31&amp;$D31,'nres bld data'!P$3:P$254)/SUMIF('nres bld data'!$W$256:$W$297,"="&amp;$B31&amp;$C31,'nres bld data'!P$256:P$297),0)</f>
        <v>0</v>
      </c>
      <c r="AB31" s="116">
        <f ca="1">IFERROR(SUMIF('nres bld data'!$V$3:$V$254,"="&amp;$B31&amp;$C31&amp;$D31,'nres bld data'!Q$3:Q$254)/SUMIF('nres bld data'!$W$256:$W$297,"="&amp;$B31&amp;$C31,'nres bld data'!Q$256:Q$297),0)</f>
        <v>0.88521235302954304</v>
      </c>
    </row>
    <row r="32" spans="2:28">
      <c r="B32" s="20" t="s">
        <v>5</v>
      </c>
      <c r="C32" s="20" t="s">
        <v>434</v>
      </c>
      <c r="D32" s="20" t="s">
        <v>445</v>
      </c>
      <c r="E32" s="55">
        <f t="shared" ca="1" si="0"/>
        <v>0</v>
      </c>
      <c r="F32" s="55">
        <f t="shared" ca="1" si="1"/>
        <v>4.6414722828843017E-3</v>
      </c>
      <c r="G32" s="21">
        <f ca="1">IFERROR(SUMIF('nres bld data'!$A$3:$A$38,B32&amp;C32,'nres bld data'!$D$3:$D$38),0)</f>
        <v>14261377</v>
      </c>
      <c r="H32" s="21">
        <f t="shared" ref="H32:I32" ca="1" si="36">$T32*U32</f>
        <v>479043.78977840213</v>
      </c>
      <c r="I32" s="21">
        <f t="shared" ca="1" si="36"/>
        <v>576662.9755752387</v>
      </c>
      <c r="J32" s="21"/>
      <c r="K32" s="21"/>
      <c r="S32" s="115"/>
      <c r="T32" s="22">
        <f ca="1">G32/SUMIF('nres bld data'!$B$3:$B$38,$B32,'nres bld data'!$D$3:$D$38)</f>
        <v>0.267833515512026</v>
      </c>
      <c r="U32" s="21">
        <f>SUMIFS('Projections by County'!$D$10:$D$36,'Projections by County'!$A$10:$A$36,$B32,'Projections by County'!$C$10:$C$36,"Electricity (kWh)",'Projections by County'!$B$10:$B$36,"Commercial")*BTU_per_kWh/1000000</f>
        <v>1788587.91761964</v>
      </c>
      <c r="V32" s="21">
        <f>SUMIFS('Projections by County'!$D$10:$D$36,'Projections by County'!$A$10:$A$36,$B32,'Projections by County'!$C$10:$C$36,"Natural Gas",'Projections by County'!$B$10:$B$36,"Commercial")</f>
        <v>2153065.0279999999</v>
      </c>
      <c r="W32" s="116"/>
      <c r="X32" s="116">
        <f>IFERROR(SUMIF('nres bld data'!$V$3:$V$254,"="&amp;$B32&amp;$C32&amp;$D32,'nres bld data'!P$3:P$254)/SUMIF('nres bld data'!$V$3:$V$254,"="&amp;$B32&amp;$C32&amp;$D32,'nres bld data'!$T$3:$T$254),0)</f>
        <v>0</v>
      </c>
      <c r="Y32" s="116">
        <f>IFERROR(SUMIF('nres bld data'!$V$3:$V$254,"="&amp;$B32&amp;$C32&amp;$D32,'nres bld data'!Q$3:Q$254)/SUMIF('nres bld data'!$V$3:$V$254,"="&amp;$B32&amp;$C32&amp;$D32,'nres bld data'!$T$3:$T$254),0)</f>
        <v>1</v>
      </c>
      <c r="AA32" s="116">
        <f ca="1">IFERROR(SUMIF('nres bld data'!$V$3:$V$254,"="&amp;$B32&amp;$C32&amp;$D32,'nres bld data'!P$3:P$254)/SUMIF('nres bld data'!$W$256:$W$297,"="&amp;$B32&amp;$C32,'nres bld data'!P$256:P$297),0)</f>
        <v>0</v>
      </c>
      <c r="AB32" s="116">
        <f ca="1">IFERROR(SUMIF('nres bld data'!$V$3:$V$254,"="&amp;$B32&amp;$C32&amp;$D32,'nres bld data'!Q$3:Q$254)/SUMIF('nres bld data'!$W$256:$W$297,"="&amp;$B32&amp;$C32,'nres bld data'!Q$256:Q$297),0)</f>
        <v>0.11478764697045685</v>
      </c>
    </row>
    <row r="33" spans="2:28">
      <c r="B33" s="20" t="s">
        <v>5</v>
      </c>
      <c r="C33" s="20" t="s">
        <v>461</v>
      </c>
      <c r="D33" s="20" t="s">
        <v>429</v>
      </c>
      <c r="E33" s="55">
        <f t="shared" ca="1" si="0"/>
        <v>0</v>
      </c>
      <c r="F33" s="55">
        <f t="shared" ca="1" si="1"/>
        <v>0</v>
      </c>
      <c r="G33" s="21">
        <f>IFERROR(SUMIF('nres bld data'!$A$3:$A$38,B33&amp;C33,'nres bld data'!$D$3:$D$38),0)</f>
        <v>0</v>
      </c>
      <c r="H33" s="21">
        <f t="shared" ref="H33:I33" ca="1" si="37">$T33*U33</f>
        <v>0</v>
      </c>
      <c r="I33" s="21">
        <f t="shared" ca="1" si="37"/>
        <v>0</v>
      </c>
      <c r="J33" s="21"/>
      <c r="K33" s="21"/>
      <c r="S33" s="115"/>
      <c r="T33" s="22">
        <f ca="1">G33/SUMIF('nres bld data'!$B$3:$B$38,$B33,'nres bld data'!$D$3:$D$38)</f>
        <v>0</v>
      </c>
      <c r="U33" s="21">
        <f>SUMIFS('Projections by County'!$D$10:$D$36,'Projections by County'!$A$10:$A$36,$B33,'Projections by County'!$C$10:$C$36,"Electricity (kWh)",'Projections by County'!$B$10:$B$36,"Commercial")*BTU_per_kWh/1000000</f>
        <v>1788587.91761964</v>
      </c>
      <c r="V33" s="21">
        <f>SUMIFS('Projections by County'!$D$10:$D$36,'Projections by County'!$A$10:$A$36,$B33,'Projections by County'!$C$10:$C$36,"Natural Gas",'Projections by County'!$B$10:$B$36,"Commercial")</f>
        <v>2153065.0279999999</v>
      </c>
      <c r="W33" s="116"/>
      <c r="X33" s="116">
        <f>IFERROR(SUMIF('nres bld data'!$V$3:$V$254,"="&amp;$B33&amp;$C33&amp;$D33,'nres bld data'!P$3:P$254)/SUMIF('nres bld data'!$V$3:$V$254,"="&amp;$B33&amp;$C33&amp;$D33,'nres bld data'!$T$3:$T$254),0)</f>
        <v>0.85663706705223308</v>
      </c>
      <c r="Y33" s="116">
        <f>IFERROR(SUMIF('nres bld data'!$V$3:$V$254,"="&amp;$B33&amp;$C33&amp;$D33,'nres bld data'!Q$3:Q$254)/SUMIF('nres bld data'!$V$3:$V$254,"="&amp;$B33&amp;$C33&amp;$D33,'nres bld data'!$T$3:$T$254),0)</f>
        <v>0.143362932947767</v>
      </c>
      <c r="AA33" s="116">
        <f ca="1">IFERROR(SUMIF('nres bld data'!$V$3:$V$254,"="&amp;$B33&amp;$C33&amp;$D33,'nres bld data'!P$3:P$254)/SUMIF('nres bld data'!$W$256:$W$297,"="&amp;$B33&amp;$C33,'nres bld data'!P$256:P$297),0)</f>
        <v>0.45134387969428419</v>
      </c>
      <c r="AB33" s="116">
        <f ca="1">IFERROR(SUMIF('nres bld data'!$V$3:$V$254,"="&amp;$B33&amp;$C33&amp;$D33,'nres bld data'!Q$3:Q$254)/SUMIF('nres bld data'!$W$256:$W$297,"="&amp;$B33&amp;$C33,'nres bld data'!Q$256:Q$297),0)</f>
        <v>0.22701858682081621</v>
      </c>
    </row>
    <row r="34" spans="2:28">
      <c r="B34" s="20" t="s">
        <v>5</v>
      </c>
      <c r="C34" s="20" t="s">
        <v>461</v>
      </c>
      <c r="D34" s="20" t="s">
        <v>433</v>
      </c>
      <c r="E34" s="55">
        <f t="shared" ca="1" si="0"/>
        <v>0</v>
      </c>
      <c r="F34" s="55">
        <f t="shared" ca="1" si="1"/>
        <v>0</v>
      </c>
      <c r="G34" s="21">
        <f>IFERROR(SUMIF('nres bld data'!$A$3:$A$38,B34&amp;C34,'nres bld data'!$D$3:$D$38),0)</f>
        <v>0</v>
      </c>
      <c r="H34" s="21">
        <f t="shared" ref="H34:I34" ca="1" si="38">$T34*U34</f>
        <v>0</v>
      </c>
      <c r="I34" s="21">
        <f t="shared" ca="1" si="38"/>
        <v>0</v>
      </c>
      <c r="J34" s="21"/>
      <c r="K34" s="21"/>
      <c r="S34" s="115"/>
      <c r="T34" s="22">
        <f ca="1">G34/SUMIF('nres bld data'!$B$3:$B$38,$B34,'nres bld data'!$D$3:$D$38)</f>
        <v>0</v>
      </c>
      <c r="U34" s="21">
        <f>SUMIFS('Projections by County'!$D$10:$D$36,'Projections by County'!$A$10:$A$36,$B34,'Projections by County'!$C$10:$C$36,"Electricity (kWh)",'Projections by County'!$B$10:$B$36,"Commercial")*BTU_per_kWh/1000000</f>
        <v>1788587.91761964</v>
      </c>
      <c r="V34" s="21">
        <f>SUMIFS('Projections by County'!$D$10:$D$36,'Projections by County'!$A$10:$A$36,$B34,'Projections by County'!$C$10:$C$36,"Natural Gas",'Projections by County'!$B$10:$B$36,"Commercial")</f>
        <v>2153065.0279999999</v>
      </c>
      <c r="W34" s="116"/>
      <c r="X34" s="116">
        <f>IFERROR(SUMIF('nres bld data'!$V$3:$V$254,"="&amp;$B34&amp;$C34&amp;$D34,'nres bld data'!P$3:P$254)/SUMIF('nres bld data'!$V$3:$V$254,"="&amp;$B34&amp;$C34&amp;$D34,'nres bld data'!$T$3:$T$254),0)</f>
        <v>1</v>
      </c>
      <c r="Y34" s="116">
        <f>IFERROR(SUMIF('nres bld data'!$V$3:$V$254,"="&amp;$B34&amp;$C34&amp;$D34,'nres bld data'!Q$3:Q$254)/SUMIF('nres bld data'!$V$3:$V$254,"="&amp;$B34&amp;$C34&amp;$D34,'nres bld data'!$T$3:$T$254),0)</f>
        <v>0</v>
      </c>
      <c r="AA34" s="116">
        <f ca="1">IFERROR(SUMIF('nres bld data'!$V$3:$V$254,"="&amp;$B34&amp;$C34&amp;$D34,'nres bld data'!P$3:P$254)/SUMIF('nres bld data'!$W$256:$W$297,"="&amp;$B34&amp;$C34,'nres bld data'!P$256:P$297),0)</f>
        <v>0.19037653765729584</v>
      </c>
      <c r="AB34" s="116">
        <f ca="1">IFERROR(SUMIF('nres bld data'!$V$3:$V$254,"="&amp;$B34&amp;$C34&amp;$D34,'nres bld data'!Q$3:Q$254)/SUMIF('nres bld data'!$W$256:$W$297,"="&amp;$B34&amp;$C34,'nres bld data'!Q$256:Q$297),0)</f>
        <v>0</v>
      </c>
    </row>
    <row r="35" spans="2:28">
      <c r="B35" s="20" t="s">
        <v>5</v>
      </c>
      <c r="C35" s="20" t="s">
        <v>461</v>
      </c>
      <c r="D35" s="20" t="s">
        <v>437</v>
      </c>
      <c r="E35" s="55">
        <f t="shared" ca="1" si="0"/>
        <v>0</v>
      </c>
      <c r="F35" s="55">
        <f t="shared" ca="1" si="1"/>
        <v>0</v>
      </c>
      <c r="G35" s="21">
        <f>IFERROR(SUMIF('nres bld data'!$A$3:$A$38,B35&amp;C35,'nres bld data'!$D$3:$D$38),0)</f>
        <v>0</v>
      </c>
      <c r="H35" s="21">
        <f t="shared" ref="H35:I35" ca="1" si="39">$T35*U35</f>
        <v>0</v>
      </c>
      <c r="I35" s="21">
        <f t="shared" ca="1" si="39"/>
        <v>0</v>
      </c>
      <c r="J35" s="21"/>
      <c r="K35" s="21"/>
      <c r="S35" s="115"/>
      <c r="T35" s="22">
        <f ca="1">G35/SUMIF('nres bld data'!$B$3:$B$38,$B35,'nres bld data'!$D$3:$D$38)</f>
        <v>0</v>
      </c>
      <c r="U35" s="21">
        <f>SUMIFS('Projections by County'!$D$10:$D$36,'Projections by County'!$A$10:$A$36,$B35,'Projections by County'!$C$10:$C$36,"Electricity (kWh)",'Projections by County'!$B$10:$B$36,"Commercial")*BTU_per_kWh/1000000</f>
        <v>1788587.91761964</v>
      </c>
      <c r="V35" s="21">
        <f>SUMIFS('Projections by County'!$D$10:$D$36,'Projections by County'!$A$10:$A$36,$B35,'Projections by County'!$C$10:$C$36,"Natural Gas",'Projections by County'!$B$10:$B$36,"Commercial")</f>
        <v>2153065.0279999999</v>
      </c>
      <c r="W35" s="116"/>
      <c r="X35" s="116">
        <f>IFERROR(SUMIF('nres bld data'!$V$3:$V$254,"="&amp;$B35&amp;$C35&amp;$D35,'nres bld data'!P$3:P$254)/SUMIF('nres bld data'!$V$3:$V$254,"="&amp;$B35&amp;$C35&amp;$D35,'nres bld data'!$T$3:$T$254),0)</f>
        <v>1</v>
      </c>
      <c r="Y35" s="116">
        <f>IFERROR(SUMIF('nres bld data'!$V$3:$V$254,"="&amp;$B35&amp;$C35&amp;$D35,'nres bld data'!Q$3:Q$254)/SUMIF('nres bld data'!$V$3:$V$254,"="&amp;$B35&amp;$C35&amp;$D35,'nres bld data'!$T$3:$T$254),0)</f>
        <v>0</v>
      </c>
      <c r="AA35" s="116">
        <f ca="1">IFERROR(SUMIF('nres bld data'!$V$3:$V$254,"="&amp;$B35&amp;$C35&amp;$D35,'nres bld data'!P$3:P$254)/SUMIF('nres bld data'!$W$256:$W$297,"="&amp;$B35&amp;$C35,'nres bld data'!P$256:P$297),0)</f>
        <v>0.21255362264105343</v>
      </c>
      <c r="AB35" s="116">
        <f ca="1">IFERROR(SUMIF('nres bld data'!$V$3:$V$254,"="&amp;$B35&amp;$C35&amp;$D35,'nres bld data'!Q$3:Q$254)/SUMIF('nres bld data'!$W$256:$W$297,"="&amp;$B35&amp;$C35,'nres bld data'!Q$256:Q$297),0)</f>
        <v>0</v>
      </c>
    </row>
    <row r="36" spans="2:28">
      <c r="B36" s="20" t="s">
        <v>5</v>
      </c>
      <c r="C36" s="20" t="s">
        <v>461</v>
      </c>
      <c r="D36" s="20" t="s">
        <v>440</v>
      </c>
      <c r="E36" s="55">
        <f t="shared" ca="1" si="0"/>
        <v>0</v>
      </c>
      <c r="F36" s="55">
        <f t="shared" ca="1" si="1"/>
        <v>0</v>
      </c>
      <c r="G36" s="21">
        <f>IFERROR(SUMIF('nres bld data'!$A$3:$A$38,B36&amp;C36,'nres bld data'!$D$3:$D$38),0)</f>
        <v>0</v>
      </c>
      <c r="H36" s="21">
        <f t="shared" ref="H36:I36" ca="1" si="40">$T36*U36</f>
        <v>0</v>
      </c>
      <c r="I36" s="21">
        <f t="shared" ca="1" si="40"/>
        <v>0</v>
      </c>
      <c r="J36" s="21"/>
      <c r="K36" s="21"/>
      <c r="S36" s="115"/>
      <c r="T36" s="22">
        <f ca="1">G36/SUMIF('nres bld data'!$B$3:$B$38,$B36,'nres bld data'!$D$3:$D$38)</f>
        <v>0</v>
      </c>
      <c r="U36" s="21">
        <f>SUMIFS('Projections by County'!$D$10:$D$36,'Projections by County'!$A$10:$A$36,$B36,'Projections by County'!$C$10:$C$36,"Electricity (kWh)",'Projections by County'!$B$10:$B$36,"Commercial")*BTU_per_kWh/1000000</f>
        <v>1788587.91761964</v>
      </c>
      <c r="V36" s="21">
        <f>SUMIFS('Projections by County'!$D$10:$D$36,'Projections by County'!$A$10:$A$36,$B36,'Projections by County'!$C$10:$C$36,"Natural Gas",'Projections by County'!$B$10:$B$36,"Commercial")</f>
        <v>2153065.0279999999</v>
      </c>
      <c r="W36" s="116"/>
      <c r="X36" s="116">
        <f>IFERROR(SUMIF('nres bld data'!$V$3:$V$254,"="&amp;$B36&amp;$C36&amp;$D36,'nres bld data'!P$3:P$254)/SUMIF('nres bld data'!$V$3:$V$254,"="&amp;$B36&amp;$C36&amp;$D36,'nres bld data'!$T$3:$T$254),0)</f>
        <v>1</v>
      </c>
      <c r="Y36" s="116">
        <f>IFERROR(SUMIF('nres bld data'!$V$3:$V$254,"="&amp;$B36&amp;$C36&amp;$D36,'nres bld data'!Q$3:Q$254)/SUMIF('nres bld data'!$V$3:$V$254,"="&amp;$B36&amp;$C36&amp;$D36,'nres bld data'!$T$3:$T$254),0)</f>
        <v>0</v>
      </c>
      <c r="AA36" s="116">
        <f ca="1">IFERROR(SUMIF('nres bld data'!$V$3:$V$254,"="&amp;$B36&amp;$C36&amp;$D36,'nres bld data'!P$3:P$254)/SUMIF('nres bld data'!$W$256:$W$297,"="&amp;$B36&amp;$C36,'nres bld data'!P$256:P$297),0)</f>
        <v>0.13481488963905927</v>
      </c>
      <c r="AB36" s="116">
        <f ca="1">IFERROR(SUMIF('nres bld data'!$V$3:$V$254,"="&amp;$B36&amp;$C36&amp;$D36,'nres bld data'!Q$3:Q$254)/SUMIF('nres bld data'!$W$256:$W$297,"="&amp;$B36&amp;$C36,'nres bld data'!Q$256:Q$297),0)</f>
        <v>0</v>
      </c>
    </row>
    <row r="37" spans="2:28">
      <c r="B37" s="20" t="s">
        <v>5</v>
      </c>
      <c r="C37" s="20" t="s">
        <v>461</v>
      </c>
      <c r="D37" s="20" t="s">
        <v>443</v>
      </c>
      <c r="E37" s="55">
        <f t="shared" ca="1" si="0"/>
        <v>0</v>
      </c>
      <c r="F37" s="55">
        <f t="shared" ca="1" si="1"/>
        <v>0</v>
      </c>
      <c r="G37" s="21">
        <f>IFERROR(SUMIF('nres bld data'!$A$3:$A$38,B37&amp;C37,'nres bld data'!$D$3:$D$38),0)</f>
        <v>0</v>
      </c>
      <c r="H37" s="21">
        <f t="shared" ref="H37:I37" ca="1" si="41">$T37*U37</f>
        <v>0</v>
      </c>
      <c r="I37" s="21">
        <f t="shared" ca="1" si="41"/>
        <v>0</v>
      </c>
      <c r="J37" s="21"/>
      <c r="K37" s="21"/>
      <c r="S37" s="115"/>
      <c r="T37" s="22">
        <f ca="1">G37/SUMIF('nres bld data'!$B$3:$B$38,$B37,'nres bld data'!$D$3:$D$38)</f>
        <v>0</v>
      </c>
      <c r="U37" s="21">
        <f>SUMIFS('Projections by County'!$D$10:$D$36,'Projections by County'!$A$10:$A$36,$B37,'Projections by County'!$C$10:$C$36,"Electricity (kWh)",'Projections by County'!$B$10:$B$36,"Commercial")*BTU_per_kWh/1000000</f>
        <v>1788587.91761964</v>
      </c>
      <c r="V37" s="21">
        <f>SUMIFS('Projections by County'!$D$10:$D$36,'Projections by County'!$A$10:$A$36,$B37,'Projections by County'!$C$10:$C$36,"Natural Gas",'Projections by County'!$B$10:$B$36,"Commercial")</f>
        <v>2153065.0279999999</v>
      </c>
      <c r="W37" s="116"/>
      <c r="X37" s="116">
        <f>IFERROR(SUMIF('nres bld data'!$V$3:$V$254,"="&amp;$B37&amp;$C37&amp;$D37,'nres bld data'!P$3:P$254)/SUMIF('nres bld data'!$V$3:$V$254,"="&amp;$B37&amp;$C37&amp;$D37,'nres bld data'!$T$3:$T$254),0)</f>
        <v>0</v>
      </c>
      <c r="Y37" s="116">
        <f>IFERROR(SUMIF('nres bld data'!$V$3:$V$254,"="&amp;$B37&amp;$C37&amp;$D37,'nres bld data'!Q$3:Q$254)/SUMIF('nres bld data'!$V$3:$V$254,"="&amp;$B37&amp;$C37&amp;$D37,'nres bld data'!$T$3:$T$254),0)</f>
        <v>0.88127033272945565</v>
      </c>
      <c r="AA37" s="116">
        <f ca="1">IFERROR(SUMIF('nres bld data'!$V$3:$V$254,"="&amp;$B37&amp;$C37&amp;$D37,'nres bld data'!P$3:P$254)/SUMIF('nres bld data'!$W$256:$W$297,"="&amp;$B37&amp;$C37,'nres bld data'!P$256:P$297),0)</f>
        <v>0</v>
      </c>
      <c r="AB37" s="116">
        <f ca="1">IFERROR(SUMIF('nres bld data'!$V$3:$V$254,"="&amp;$B37&amp;$C37&amp;$D37,'nres bld data'!Q$3:Q$254)/SUMIF('nres bld data'!$W$256:$W$297,"="&amp;$B37&amp;$C37,'nres bld data'!Q$256:Q$297),0)</f>
        <v>0.67212375470117536</v>
      </c>
    </row>
    <row r="38" spans="2:28">
      <c r="B38" s="20" t="s">
        <v>5</v>
      </c>
      <c r="C38" s="20" t="s">
        <v>461</v>
      </c>
      <c r="D38" s="20" t="s">
        <v>445</v>
      </c>
      <c r="E38" s="55">
        <f t="shared" ca="1" si="0"/>
        <v>0</v>
      </c>
      <c r="F38" s="55">
        <f t="shared" ca="1" si="1"/>
        <v>0</v>
      </c>
      <c r="G38" s="21">
        <f>IFERROR(SUMIF('nres bld data'!$A$3:$A$38,B38&amp;C38,'nres bld data'!$D$3:$D$38),0)</f>
        <v>0</v>
      </c>
      <c r="H38" s="21">
        <f t="shared" ref="H38:I38" ca="1" si="42">$T38*U38</f>
        <v>0</v>
      </c>
      <c r="I38" s="21">
        <f t="shared" ca="1" si="42"/>
        <v>0</v>
      </c>
      <c r="J38" s="21"/>
      <c r="K38" s="21"/>
      <c r="S38" s="115"/>
      <c r="T38" s="22">
        <f ca="1">G38/SUMIF('nres bld data'!$B$3:$B$38,$B38,'nres bld data'!$D$3:$D$38)</f>
        <v>0</v>
      </c>
      <c r="U38" s="21">
        <f>SUMIFS('Projections by County'!$D$10:$D$36,'Projections by County'!$A$10:$A$36,$B38,'Projections by County'!$C$10:$C$36,"Electricity (kWh)",'Projections by County'!$B$10:$B$36,"Commercial")*BTU_per_kWh/1000000</f>
        <v>1788587.91761964</v>
      </c>
      <c r="V38" s="21">
        <f>SUMIFS('Projections by County'!$D$10:$D$36,'Projections by County'!$A$10:$A$36,$B38,'Projections by County'!$C$10:$C$36,"Natural Gas",'Projections by County'!$B$10:$B$36,"Commercial")</f>
        <v>2153065.0279999999</v>
      </c>
      <c r="W38" s="116"/>
      <c r="X38" s="116">
        <f>IFERROR(SUMIF('nres bld data'!$V$3:$V$254,"="&amp;$B38&amp;$C38&amp;$D38,'nres bld data'!P$3:P$254)/SUMIF('nres bld data'!$V$3:$V$254,"="&amp;$B38&amp;$C38&amp;$D38,'nres bld data'!$T$3:$T$254),0)</f>
        <v>0.24536357159972313</v>
      </c>
      <c r="Y38" s="116">
        <f>IFERROR(SUMIF('nres bld data'!$V$3:$V$254,"="&amp;$B38&amp;$C38&amp;$D38,'nres bld data'!Q$3:Q$254)/SUMIF('nres bld data'!$V$3:$V$254,"="&amp;$B38&amp;$C38&amp;$D38,'nres bld data'!$T$3:$T$254),0)</f>
        <v>0.75463642840027689</v>
      </c>
      <c r="AA38" s="116">
        <f ca="1">IFERROR(SUMIF('nres bld data'!$V$3:$V$254,"="&amp;$B38&amp;$C38&amp;$D38,'nres bld data'!P$3:P$254)/SUMIF('nres bld data'!$W$256:$W$297,"="&amp;$B38&amp;$C38,'nres bld data'!P$256:P$297),0)</f>
        <v>1.0911070368307208E-2</v>
      </c>
      <c r="AB38" s="116">
        <f ca="1">IFERROR(SUMIF('nres bld data'!$V$3:$V$254,"="&amp;$B38&amp;$C38&amp;$D38,'nres bld data'!Q$3:Q$254)/SUMIF('nres bld data'!$W$256:$W$297,"="&amp;$B38&amp;$C38,'nres bld data'!Q$256:Q$297),0)</f>
        <v>0.10085765847800851</v>
      </c>
    </row>
    <row r="39" spans="2:28">
      <c r="B39" s="20" t="s">
        <v>5</v>
      </c>
      <c r="C39" s="20" t="s">
        <v>446</v>
      </c>
      <c r="D39" s="20" t="s">
        <v>429</v>
      </c>
      <c r="E39" s="55">
        <f t="shared" ca="1" si="0"/>
        <v>3.4642573747502695E-3</v>
      </c>
      <c r="F39" s="55">
        <f t="shared" ca="1" si="1"/>
        <v>3.1217578195649361E-3</v>
      </c>
      <c r="G39" s="21">
        <f ca="1">IFERROR(SUMIF('nres bld data'!$A$3:$A$38,B39&amp;C39,'nres bld data'!$D$3:$D$38),0)</f>
        <v>7182875</v>
      </c>
      <c r="H39" s="21">
        <f t="shared" ref="H39:I39" ca="1" si="43">$T39*U39</f>
        <v>241274.85456029524</v>
      </c>
      <c r="I39" s="21">
        <f t="shared" ca="1" si="43"/>
        <v>290441.66427161923</v>
      </c>
      <c r="J39" s="21"/>
      <c r="K39" s="21"/>
      <c r="S39" s="115"/>
      <c r="T39" s="22">
        <f ca="1">G39/SUMIF('nres bld data'!$B$3:$B$38,$B39,'nres bld data'!$D$3:$D$38)</f>
        <v>0.13489683799351518</v>
      </c>
      <c r="U39" s="21">
        <f>SUMIFS('Projections by County'!$D$10:$D$36,'Projections by County'!$A$10:$A$36,$B39,'Projections by County'!$C$10:$C$36,"Electricity (kWh)",'Projections by County'!$B$10:$B$36,"Commercial")*BTU_per_kWh/1000000</f>
        <v>1788587.91761964</v>
      </c>
      <c r="V39" s="21">
        <f>SUMIFS('Projections by County'!$D$10:$D$36,'Projections by County'!$A$10:$A$36,$B39,'Projections by County'!$C$10:$C$36,"Natural Gas",'Projections by County'!$B$10:$B$36,"Commercial")</f>
        <v>2153065.0279999999</v>
      </c>
      <c r="W39" s="116"/>
      <c r="X39" s="116">
        <f>IFERROR(SUMIF('nres bld data'!$V$3:$V$254,"="&amp;$B39&amp;$C39&amp;$D39,'nres bld data'!P$3:P$254)/SUMIF('nres bld data'!$V$3:$V$254,"="&amp;$B39&amp;$C39&amp;$D39,'nres bld data'!$T$3:$T$254),0)</f>
        <v>0.45710817520035196</v>
      </c>
      <c r="Y39" s="116">
        <f>IFERROR(SUMIF('nres bld data'!$V$3:$V$254,"="&amp;$B39&amp;$C39&amp;$D39,'nres bld data'!Q$3:Q$254)/SUMIF('nres bld data'!$V$3:$V$254,"="&amp;$B39&amp;$C39&amp;$D39,'nres bld data'!$T$3:$T$254),0)</f>
        <v>0.54289182479964804</v>
      </c>
      <c r="AA39" s="116">
        <f ca="1">IFERROR(SUMIF('nres bld data'!$V$3:$V$254,"="&amp;$B39&amp;$C39&amp;$D39,'nres bld data'!P$3:P$254)/SUMIF('nres bld data'!$W$256:$W$297,"="&amp;$B39&amp;$C39,'nres bld data'!P$256:P$297),0)</f>
        <v>0.10313270206299485</v>
      </c>
      <c r="AB39" s="116">
        <f ca="1">IFERROR(SUMIF('nres bld data'!$V$3:$V$254,"="&amp;$B39&amp;$C39&amp;$D39,'nres bld data'!Q$3:Q$254)/SUMIF('nres bld data'!$W$256:$W$297,"="&amp;$B39&amp;$C39,'nres bld data'!Q$256:Q$297),0)</f>
        <v>7.720378635909983E-2</v>
      </c>
    </row>
    <row r="40" spans="2:28">
      <c r="B40" s="20" t="s">
        <v>5</v>
      </c>
      <c r="C40" s="20" t="s">
        <v>446</v>
      </c>
      <c r="D40" s="20" t="s">
        <v>433</v>
      </c>
      <c r="E40" s="55">
        <f t="shared" ca="1" si="0"/>
        <v>1.1647938315538347E-2</v>
      </c>
      <c r="F40" s="55">
        <f t="shared" ca="1" si="1"/>
        <v>0</v>
      </c>
      <c r="G40" s="21">
        <f ca="1">IFERROR(SUMIF('nres bld data'!$A$3:$A$38,B40&amp;C40,'nres bld data'!$D$3:$D$38),0)</f>
        <v>7182875</v>
      </c>
      <c r="H40" s="21">
        <f t="shared" ref="H40:I40" ca="1" si="44">$T40*U40</f>
        <v>241274.85456029524</v>
      </c>
      <c r="I40" s="21">
        <f t="shared" ca="1" si="44"/>
        <v>290441.66427161923</v>
      </c>
      <c r="J40" s="21"/>
      <c r="K40" s="21"/>
      <c r="S40" s="115"/>
      <c r="T40" s="22">
        <f ca="1">G40/SUMIF('nres bld data'!$B$3:$B$38,$B40,'nres bld data'!$D$3:$D$38)</f>
        <v>0.13489683799351518</v>
      </c>
      <c r="U40" s="21">
        <f>SUMIFS('Projections by County'!$D$10:$D$36,'Projections by County'!$A$10:$A$36,$B40,'Projections by County'!$C$10:$C$36,"Electricity (kWh)",'Projections by County'!$B$10:$B$36,"Commercial")*BTU_per_kWh/1000000</f>
        <v>1788587.91761964</v>
      </c>
      <c r="V40" s="21">
        <f>SUMIFS('Projections by County'!$D$10:$D$36,'Projections by County'!$A$10:$A$36,$B40,'Projections by County'!$C$10:$C$36,"Natural Gas",'Projections by County'!$B$10:$B$36,"Commercial")</f>
        <v>2153065.0279999999</v>
      </c>
      <c r="W40" s="116"/>
      <c r="X40" s="116">
        <f>IFERROR(SUMIF('nres bld data'!$V$3:$V$254,"="&amp;$B40&amp;$C40&amp;$D40,'nres bld data'!P$3:P$254)/SUMIF('nres bld data'!$V$3:$V$254,"="&amp;$B40&amp;$C40&amp;$D40,'nres bld data'!$T$3:$T$254),0)</f>
        <v>1</v>
      </c>
      <c r="Y40" s="116">
        <f>IFERROR(SUMIF('nres bld data'!$V$3:$V$254,"="&amp;$B40&amp;$C40&amp;$D40,'nres bld data'!Q$3:Q$254)/SUMIF('nres bld data'!$V$3:$V$254,"="&amp;$B40&amp;$C40&amp;$D40,'nres bld data'!$T$3:$T$254),0)</f>
        <v>0</v>
      </c>
      <c r="AA40" s="116">
        <f ca="1">IFERROR(SUMIF('nres bld data'!$V$3:$V$254,"="&amp;$B40&amp;$C40&amp;$D40,'nres bld data'!P$3:P$254)/SUMIF('nres bld data'!$W$256:$W$297,"="&amp;$B40&amp;$C40,'nres bld data'!P$256:P$297),0)</f>
        <v>0.34676504139105896</v>
      </c>
      <c r="AB40" s="116">
        <f ca="1">IFERROR(SUMIF('nres bld data'!$V$3:$V$254,"="&amp;$B40&amp;$C40&amp;$D40,'nres bld data'!Q$3:Q$254)/SUMIF('nres bld data'!$W$256:$W$297,"="&amp;$B40&amp;$C40,'nres bld data'!Q$256:Q$297),0)</f>
        <v>0</v>
      </c>
    </row>
    <row r="41" spans="2:28">
      <c r="B41" s="20" t="s">
        <v>5</v>
      </c>
      <c r="C41" s="20" t="s">
        <v>446</v>
      </c>
      <c r="D41" s="20" t="s">
        <v>437</v>
      </c>
      <c r="E41" s="55">
        <f t="shared" ca="1" si="0"/>
        <v>1.1328541404427931E-2</v>
      </c>
      <c r="F41" s="55">
        <f t="shared" ca="1" si="1"/>
        <v>0</v>
      </c>
      <c r="G41" s="21">
        <f ca="1">IFERROR(SUMIF('nres bld data'!$A$3:$A$38,B41&amp;C41,'nres bld data'!$D$3:$D$38),0)</f>
        <v>7182875</v>
      </c>
      <c r="H41" s="21">
        <f t="shared" ref="H41:I41" ca="1" si="45">$T41*U41</f>
        <v>241274.85456029524</v>
      </c>
      <c r="I41" s="21">
        <f t="shared" ca="1" si="45"/>
        <v>290441.66427161923</v>
      </c>
      <c r="J41" s="21"/>
      <c r="K41" s="21"/>
      <c r="S41" s="115"/>
      <c r="T41" s="22">
        <f ca="1">G41/SUMIF('nres bld data'!$B$3:$B$38,$B41,'nres bld data'!$D$3:$D$38)</f>
        <v>0.13489683799351518</v>
      </c>
      <c r="U41" s="21">
        <f>SUMIFS('Projections by County'!$D$10:$D$36,'Projections by County'!$A$10:$A$36,$B41,'Projections by County'!$C$10:$C$36,"Electricity (kWh)",'Projections by County'!$B$10:$B$36,"Commercial")*BTU_per_kWh/1000000</f>
        <v>1788587.91761964</v>
      </c>
      <c r="V41" s="21">
        <f>SUMIFS('Projections by County'!$D$10:$D$36,'Projections by County'!$A$10:$A$36,$B41,'Projections by County'!$C$10:$C$36,"Natural Gas",'Projections by County'!$B$10:$B$36,"Commercial")</f>
        <v>2153065.0279999999</v>
      </c>
      <c r="W41" s="116"/>
      <c r="X41" s="116">
        <f>IFERROR(SUMIF('nres bld data'!$V$3:$V$254,"="&amp;$B41&amp;$C41&amp;$D41,'nres bld data'!P$3:P$254)/SUMIF('nres bld data'!$V$3:$V$254,"="&amp;$B41&amp;$C41&amp;$D41,'nres bld data'!$T$3:$T$254),0)</f>
        <v>1</v>
      </c>
      <c r="Y41" s="116">
        <f>IFERROR(SUMIF('nres bld data'!$V$3:$V$254,"="&amp;$B41&amp;$C41&amp;$D41,'nres bld data'!Q$3:Q$254)/SUMIF('nres bld data'!$V$3:$V$254,"="&amp;$B41&amp;$C41&amp;$D41,'nres bld data'!$T$3:$T$254),0)</f>
        <v>0</v>
      </c>
      <c r="AA41" s="116">
        <f ca="1">IFERROR(SUMIF('nres bld data'!$V$3:$V$254,"="&amp;$B41&amp;$C41&amp;$D41,'nres bld data'!P$3:P$254)/SUMIF('nres bld data'!$W$256:$W$297,"="&amp;$B41&amp;$C41,'nres bld data'!P$256:P$297),0)</f>
        <v>0.33725643307763481</v>
      </c>
      <c r="AB41" s="116">
        <f ca="1">IFERROR(SUMIF('nres bld data'!$V$3:$V$254,"="&amp;$B41&amp;$C41&amp;$D41,'nres bld data'!Q$3:Q$254)/SUMIF('nres bld data'!$W$256:$W$297,"="&amp;$B41&amp;$C41,'nres bld data'!Q$256:Q$297),0)</f>
        <v>0</v>
      </c>
    </row>
    <row r="42" spans="2:28">
      <c r="B42" s="20" t="s">
        <v>5</v>
      </c>
      <c r="C42" s="20" t="s">
        <v>446</v>
      </c>
      <c r="D42" s="20" t="s">
        <v>440</v>
      </c>
      <c r="E42" s="55">
        <f t="shared" ca="1" si="0"/>
        <v>5.3513463861244535E-3</v>
      </c>
      <c r="F42" s="55">
        <f t="shared" ca="1" si="1"/>
        <v>0</v>
      </c>
      <c r="G42" s="21">
        <f ca="1">IFERROR(SUMIF('nres bld data'!$A$3:$A$38,B42&amp;C42,'nres bld data'!$D$3:$D$38),0)</f>
        <v>7182875</v>
      </c>
      <c r="H42" s="21">
        <f t="shared" ref="H42:I42" ca="1" si="46">$T42*U42</f>
        <v>241274.85456029524</v>
      </c>
      <c r="I42" s="21">
        <f t="shared" ca="1" si="46"/>
        <v>290441.66427161923</v>
      </c>
      <c r="J42" s="21"/>
      <c r="K42" s="21"/>
      <c r="S42" s="115"/>
      <c r="T42" s="22">
        <f ca="1">G42/SUMIF('nres bld data'!$B$3:$B$38,$B42,'nres bld data'!$D$3:$D$38)</f>
        <v>0.13489683799351518</v>
      </c>
      <c r="U42" s="21">
        <f>SUMIFS('Projections by County'!$D$10:$D$36,'Projections by County'!$A$10:$A$36,$B42,'Projections by County'!$C$10:$C$36,"Electricity (kWh)",'Projections by County'!$B$10:$B$36,"Commercial")*BTU_per_kWh/1000000</f>
        <v>1788587.91761964</v>
      </c>
      <c r="V42" s="21">
        <f>SUMIFS('Projections by County'!$D$10:$D$36,'Projections by County'!$A$10:$A$36,$B42,'Projections by County'!$C$10:$C$36,"Natural Gas",'Projections by County'!$B$10:$B$36,"Commercial")</f>
        <v>2153065.0279999999</v>
      </c>
      <c r="W42" s="116"/>
      <c r="X42" s="116">
        <f>IFERROR(SUMIF('nres bld data'!$V$3:$V$254,"="&amp;$B42&amp;$C42&amp;$D42,'nres bld data'!P$3:P$254)/SUMIF('nres bld data'!$V$3:$V$254,"="&amp;$B42&amp;$C42&amp;$D42,'nres bld data'!$T$3:$T$254),0)</f>
        <v>1</v>
      </c>
      <c r="Y42" s="116">
        <f>IFERROR(SUMIF('nres bld data'!$V$3:$V$254,"="&amp;$B42&amp;$C42&amp;$D42,'nres bld data'!Q$3:Q$254)/SUMIF('nres bld data'!$V$3:$V$254,"="&amp;$B42&amp;$C42&amp;$D42,'nres bld data'!$T$3:$T$254),0)</f>
        <v>0</v>
      </c>
      <c r="AA42" s="116">
        <f ca="1">IFERROR(SUMIF('nres bld data'!$V$3:$V$254,"="&amp;$B42&amp;$C42&amp;$D42,'nres bld data'!P$3:P$254)/SUMIF('nres bld data'!$W$256:$W$297,"="&amp;$B42&amp;$C42,'nres bld data'!P$256:P$297),0)</f>
        <v>0.1593123006675688</v>
      </c>
      <c r="AB42" s="116">
        <f ca="1">IFERROR(SUMIF('nres bld data'!$V$3:$V$254,"="&amp;$B42&amp;$C42&amp;$D42,'nres bld data'!Q$3:Q$254)/SUMIF('nres bld data'!$W$256:$W$297,"="&amp;$B42&amp;$C42,'nres bld data'!Q$256:Q$297),0)</f>
        <v>0</v>
      </c>
    </row>
    <row r="43" spans="2:28">
      <c r="B43" s="20" t="s">
        <v>5</v>
      </c>
      <c r="C43" s="20" t="s">
        <v>446</v>
      </c>
      <c r="D43" s="20" t="s">
        <v>443</v>
      </c>
      <c r="E43" s="55">
        <f t="shared" ca="1" si="0"/>
        <v>0</v>
      </c>
      <c r="F43" s="55">
        <f t="shared" ca="1" si="1"/>
        <v>3.4299586300310089E-2</v>
      </c>
      <c r="G43" s="21">
        <f ca="1">IFERROR(SUMIF('nres bld data'!$A$3:$A$38,B43&amp;C43,'nres bld data'!$D$3:$D$38),0)</f>
        <v>7182875</v>
      </c>
      <c r="H43" s="21">
        <f t="shared" ref="H43:I43" ca="1" si="47">$T43*U43</f>
        <v>241274.85456029524</v>
      </c>
      <c r="I43" s="21">
        <f t="shared" ca="1" si="47"/>
        <v>290441.66427161923</v>
      </c>
      <c r="J43" s="21"/>
      <c r="K43" s="21"/>
      <c r="S43" s="115"/>
      <c r="T43" s="22">
        <f ca="1">G43/SUMIF('nres bld data'!$B$3:$B$38,$B43,'nres bld data'!$D$3:$D$38)</f>
        <v>0.13489683799351518</v>
      </c>
      <c r="U43" s="21">
        <f>SUMIFS('Projections by County'!$D$10:$D$36,'Projections by County'!$A$10:$A$36,$B43,'Projections by County'!$C$10:$C$36,"Electricity (kWh)",'Projections by County'!$B$10:$B$36,"Commercial")*BTU_per_kWh/1000000</f>
        <v>1788587.91761964</v>
      </c>
      <c r="V43" s="21">
        <f>SUMIFS('Projections by County'!$D$10:$D$36,'Projections by County'!$A$10:$A$36,$B43,'Projections by County'!$C$10:$C$36,"Natural Gas",'Projections by County'!$B$10:$B$36,"Commercial")</f>
        <v>2153065.0279999999</v>
      </c>
      <c r="W43" s="116"/>
      <c r="X43" s="116">
        <f>IFERROR(SUMIF('nres bld data'!$V$3:$V$254,"="&amp;$B43&amp;$C43&amp;$D43,'nres bld data'!P$3:P$254)/SUMIF('nres bld data'!$V$3:$V$254,"="&amp;$B43&amp;$C43&amp;$D43,'nres bld data'!$T$3:$T$254),0)</f>
        <v>0</v>
      </c>
      <c r="Y43" s="116">
        <f>IFERROR(SUMIF('nres bld data'!$V$3:$V$254,"="&amp;$B43&amp;$C43&amp;$D43,'nres bld data'!Q$3:Q$254)/SUMIF('nres bld data'!$V$3:$V$254,"="&amp;$B43&amp;$C43&amp;$D43,'nres bld data'!$T$3:$T$254),0)</f>
        <v>1</v>
      </c>
      <c r="AA43" s="116">
        <f ca="1">IFERROR(SUMIF('nres bld data'!$V$3:$V$254,"="&amp;$B43&amp;$C43&amp;$D43,'nres bld data'!P$3:P$254)/SUMIF('nres bld data'!$W$256:$W$297,"="&amp;$B43&amp;$C43,'nres bld data'!P$256:P$297),0)</f>
        <v>0</v>
      </c>
      <c r="AB43" s="116">
        <f ca="1">IFERROR(SUMIF('nres bld data'!$V$3:$V$254,"="&amp;$B43&amp;$C43&amp;$D43,'nres bld data'!Q$3:Q$254)/SUMIF('nres bld data'!$W$256:$W$297,"="&amp;$B43&amp;$C43,'nres bld data'!Q$256:Q$297),0)</f>
        <v>0.84825860492397009</v>
      </c>
    </row>
    <row r="44" spans="2:28">
      <c r="B44" s="20" t="s">
        <v>5</v>
      </c>
      <c r="C44" s="20" t="s">
        <v>446</v>
      </c>
      <c r="D44" s="20" t="s">
        <v>445</v>
      </c>
      <c r="E44" s="55">
        <f t="shared" ca="1" si="0"/>
        <v>1.798206557659631E-3</v>
      </c>
      <c r="F44" s="55">
        <f t="shared" ca="1" si="1"/>
        <v>3.0139501420492379E-3</v>
      </c>
      <c r="G44" s="21">
        <f ca="1">IFERROR(SUMIF('nres bld data'!$A$3:$A$38,B44&amp;C44,'nres bld data'!$D$3:$D$38),0)</f>
        <v>7182875</v>
      </c>
      <c r="H44" s="21">
        <f t="shared" ref="H44:I44" ca="1" si="48">$T44*U44</f>
        <v>241274.85456029524</v>
      </c>
      <c r="I44" s="21">
        <f t="shared" ca="1" si="48"/>
        <v>290441.66427161923</v>
      </c>
      <c r="J44" s="21"/>
      <c r="K44" s="21"/>
      <c r="S44" s="115"/>
      <c r="T44" s="22">
        <f ca="1">G44/SUMIF('nres bld data'!$B$3:$B$38,$B44,'nres bld data'!$D$3:$D$38)</f>
        <v>0.13489683799351518</v>
      </c>
      <c r="U44" s="21">
        <f>SUMIFS('Projections by County'!$D$10:$D$36,'Projections by County'!$A$10:$A$36,$B44,'Projections by County'!$C$10:$C$36,"Electricity (kWh)",'Projections by County'!$B$10:$B$36,"Commercial")*BTU_per_kWh/1000000</f>
        <v>1788587.91761964</v>
      </c>
      <c r="V44" s="21">
        <f>SUMIFS('Projections by County'!$D$10:$D$36,'Projections by County'!$A$10:$A$36,$B44,'Projections by County'!$C$10:$C$36,"Natural Gas",'Projections by County'!$B$10:$B$36,"Commercial")</f>
        <v>2153065.0279999999</v>
      </c>
      <c r="W44" s="116"/>
      <c r="X44" s="116">
        <f>IFERROR(SUMIF('nres bld data'!$V$3:$V$254,"="&amp;$B44&amp;$C44&amp;$D44,'nres bld data'!P$3:P$254)/SUMIF('nres bld data'!$V$3:$V$254,"="&amp;$B44&amp;$C44&amp;$D44,'nres bld data'!$T$3:$T$254),0)</f>
        <v>0.31162058227844769</v>
      </c>
      <c r="Y44" s="116">
        <f>IFERROR(SUMIF('nres bld data'!$V$3:$V$254,"="&amp;$B44&amp;$C44&amp;$D44,'nres bld data'!Q$3:Q$254)/SUMIF('nres bld data'!$V$3:$V$254,"="&amp;$B44&amp;$C44&amp;$D44,'nres bld data'!$T$3:$T$254),0)</f>
        <v>0.68837941772155242</v>
      </c>
      <c r="AA44" s="116">
        <f ca="1">IFERROR(SUMIF('nres bld data'!$V$3:$V$254,"="&amp;$B44&amp;$C44&amp;$D44,'nres bld data'!P$3:P$254)/SUMIF('nres bld data'!$W$256:$W$297,"="&amp;$B44&amp;$C44,'nres bld data'!P$256:P$297),0)</f>
        <v>5.3533522800742611E-2</v>
      </c>
      <c r="AB44" s="116">
        <f ca="1">IFERROR(SUMIF('nres bld data'!$V$3:$V$254,"="&amp;$B44&amp;$C44&amp;$D44,'nres bld data'!Q$3:Q$254)/SUMIF('nres bld data'!$W$256:$W$297,"="&amp;$B44&amp;$C44,'nres bld data'!Q$256:Q$297),0)</f>
        <v>7.4537608716930062E-2</v>
      </c>
    </row>
    <row r="45" spans="2:28">
      <c r="B45" s="20" t="s">
        <v>5</v>
      </c>
      <c r="C45" s="20" t="s">
        <v>457</v>
      </c>
      <c r="D45" s="20" t="s">
        <v>429</v>
      </c>
      <c r="E45" s="55">
        <f t="shared" ca="1" si="0"/>
        <v>1.0325751604779086E-2</v>
      </c>
      <c r="F45" s="55">
        <f t="shared" ca="1" si="1"/>
        <v>2.5322267039794132E-2</v>
      </c>
      <c r="G45" s="21">
        <f ca="1">IFERROR(SUMIF('nres bld data'!$A$3:$A$38,B45&amp;C45,'nres bld data'!$D$3:$D$38),0)</f>
        <v>8123090</v>
      </c>
      <c r="H45" s="21">
        <f t="shared" ref="H45:I45" ca="1" si="49">$T45*U45</f>
        <v>272856.9491088441</v>
      </c>
      <c r="I45" s="21">
        <f t="shared" ca="1" si="49"/>
        <v>328459.53446609434</v>
      </c>
      <c r="J45" s="21"/>
      <c r="K45" s="21"/>
      <c r="S45" s="115"/>
      <c r="T45" s="22">
        <f ca="1">G45/SUMIF('nres bld data'!$B$3:$B$38,$B45,'nres bld data'!$D$3:$D$38)</f>
        <v>0.15255439580067079</v>
      </c>
      <c r="U45" s="21">
        <f>SUMIFS('Projections by County'!$D$10:$D$36,'Projections by County'!$A$10:$A$36,$B45,'Projections by County'!$C$10:$C$36,"Electricity (kWh)",'Projections by County'!$B$10:$B$36,"Commercial")*BTU_per_kWh/1000000</f>
        <v>1788587.91761964</v>
      </c>
      <c r="V45" s="21">
        <f>SUMIFS('Projections by County'!$D$10:$D$36,'Projections by County'!$A$10:$A$36,$B45,'Projections by County'!$C$10:$C$36,"Natural Gas",'Projections by County'!$B$10:$B$36,"Commercial")</f>
        <v>2153065.0279999999</v>
      </c>
      <c r="W45" s="116"/>
      <c r="X45" s="116">
        <f>IFERROR(SUMIF('nres bld data'!$V$3:$V$254,"="&amp;$B45&amp;$C45&amp;$D45,'nres bld data'!P$3:P$254)/SUMIF('nres bld data'!$V$3:$V$254,"="&amp;$B45&amp;$C45&amp;$D45,'nres bld data'!$T$3:$T$254),0)</f>
        <v>0.1818056843550187</v>
      </c>
      <c r="Y45" s="116">
        <f>IFERROR(SUMIF('nres bld data'!$V$3:$V$254,"="&amp;$B45&amp;$C45&amp;$D45,'nres bld data'!Q$3:Q$254)/SUMIF('nres bld data'!$V$3:$V$254,"="&amp;$B45&amp;$C45&amp;$D45,'nres bld data'!$T$3:$T$254),0)</f>
        <v>0.81819431564498124</v>
      </c>
      <c r="AA45" s="116">
        <f ca="1">IFERROR(SUMIF('nres bld data'!$V$3:$V$254,"="&amp;$B45&amp;$C45&amp;$D45,'nres bld data'!P$3:P$254)/SUMIF('nres bld data'!$W$256:$W$297,"="&amp;$B45&amp;$C45,'nres bld data'!P$256:P$297),0)</f>
        <v>0.30740287127452254</v>
      </c>
      <c r="AB45" s="116">
        <f ca="1">IFERROR(SUMIF('nres bld data'!$V$3:$V$254,"="&amp;$B45&amp;$C45&amp;$D45,'nres bld data'!Q$3:Q$254)/SUMIF('nres bld data'!$W$256:$W$297,"="&amp;$B45&amp;$C45,'nres bld data'!Q$256:Q$297),0)</f>
        <v>0.62624169063210577</v>
      </c>
    </row>
    <row r="46" spans="2:28">
      <c r="B46" s="20" t="s">
        <v>5</v>
      </c>
      <c r="C46" s="20" t="s">
        <v>457</v>
      </c>
      <c r="D46" s="20" t="s">
        <v>433</v>
      </c>
      <c r="E46" s="55">
        <f t="shared" ca="1" si="0"/>
        <v>1.0598152799408723E-2</v>
      </c>
      <c r="F46" s="55">
        <f t="shared" ca="1" si="1"/>
        <v>0</v>
      </c>
      <c r="G46" s="21">
        <f ca="1">IFERROR(SUMIF('nres bld data'!$A$3:$A$38,B46&amp;C46,'nres bld data'!$D$3:$D$38),0)</f>
        <v>8123090</v>
      </c>
      <c r="H46" s="21">
        <f t="shared" ref="H46:I46" ca="1" si="50">$T46*U46</f>
        <v>272856.9491088441</v>
      </c>
      <c r="I46" s="21">
        <f t="shared" ca="1" si="50"/>
        <v>328459.53446609434</v>
      </c>
      <c r="J46" s="21"/>
      <c r="K46" s="21"/>
      <c r="S46" s="115"/>
      <c r="T46" s="22">
        <f ca="1">G46/SUMIF('nres bld data'!$B$3:$B$38,$B46,'nres bld data'!$D$3:$D$38)</f>
        <v>0.15255439580067079</v>
      </c>
      <c r="U46" s="21">
        <f>SUMIFS('Projections by County'!$D$10:$D$36,'Projections by County'!$A$10:$A$36,$B46,'Projections by County'!$C$10:$C$36,"Electricity (kWh)",'Projections by County'!$B$10:$B$36,"Commercial")*BTU_per_kWh/1000000</f>
        <v>1788587.91761964</v>
      </c>
      <c r="V46" s="21">
        <f>SUMIFS('Projections by County'!$D$10:$D$36,'Projections by County'!$A$10:$A$36,$B46,'Projections by County'!$C$10:$C$36,"Natural Gas",'Projections by County'!$B$10:$B$36,"Commercial")</f>
        <v>2153065.0279999999</v>
      </c>
      <c r="W46" s="116"/>
      <c r="X46" s="116">
        <f>IFERROR(SUMIF('nres bld data'!$V$3:$V$254,"="&amp;$B46&amp;$C46&amp;$D46,'nres bld data'!P$3:P$254)/SUMIF('nres bld data'!$V$3:$V$254,"="&amp;$B46&amp;$C46&amp;$D46,'nres bld data'!$T$3:$T$254),0)</f>
        <v>1</v>
      </c>
      <c r="Y46" s="116">
        <f>IFERROR(SUMIF('nres bld data'!$V$3:$V$254,"="&amp;$B46&amp;$C46&amp;$D46,'nres bld data'!Q$3:Q$254)/SUMIF('nres bld data'!$V$3:$V$254,"="&amp;$B46&amp;$C46&amp;$D46,'nres bld data'!$T$3:$T$254),0)</f>
        <v>0</v>
      </c>
      <c r="AA46" s="116">
        <f ca="1">IFERROR(SUMIF('nres bld data'!$V$3:$V$254,"="&amp;$B46&amp;$C46&amp;$D46,'nres bld data'!P$3:P$254)/SUMIF('nres bld data'!$W$256:$W$297,"="&amp;$B46&amp;$C46,'nres bld data'!P$256:P$297),0)</f>
        <v>0.31551239323213032</v>
      </c>
      <c r="AB46" s="116">
        <f ca="1">IFERROR(SUMIF('nres bld data'!$V$3:$V$254,"="&amp;$B46&amp;$C46&amp;$D46,'nres bld data'!Q$3:Q$254)/SUMIF('nres bld data'!$W$256:$W$297,"="&amp;$B46&amp;$C46,'nres bld data'!Q$256:Q$297),0)</f>
        <v>0</v>
      </c>
    </row>
    <row r="47" spans="2:28">
      <c r="B47" s="20" t="s">
        <v>5</v>
      </c>
      <c r="C47" s="20" t="s">
        <v>457</v>
      </c>
      <c r="D47" s="20" t="s">
        <v>437</v>
      </c>
      <c r="E47" s="55">
        <f t="shared" ca="1" si="0"/>
        <v>5.648071204517143E-3</v>
      </c>
      <c r="F47" s="55">
        <f t="shared" ca="1" si="1"/>
        <v>0</v>
      </c>
      <c r="G47" s="21">
        <f ca="1">IFERROR(SUMIF('nres bld data'!$A$3:$A$38,B47&amp;C47,'nres bld data'!$D$3:$D$38),0)</f>
        <v>8123090</v>
      </c>
      <c r="H47" s="21">
        <f t="shared" ref="H47:I47" ca="1" si="51">$T47*U47</f>
        <v>272856.9491088441</v>
      </c>
      <c r="I47" s="21">
        <f t="shared" ca="1" si="51"/>
        <v>328459.53446609434</v>
      </c>
      <c r="J47" s="21"/>
      <c r="K47" s="21"/>
      <c r="S47" s="115"/>
      <c r="T47" s="22">
        <f ca="1">G47/SUMIF('nres bld data'!$B$3:$B$38,$B47,'nres bld data'!$D$3:$D$38)</f>
        <v>0.15255439580067079</v>
      </c>
      <c r="U47" s="21">
        <f>SUMIFS('Projections by County'!$D$10:$D$36,'Projections by County'!$A$10:$A$36,$B47,'Projections by County'!$C$10:$C$36,"Electricity (kWh)",'Projections by County'!$B$10:$B$36,"Commercial")*BTU_per_kWh/1000000</f>
        <v>1788587.91761964</v>
      </c>
      <c r="V47" s="21">
        <f>SUMIFS('Projections by County'!$D$10:$D$36,'Projections by County'!$A$10:$A$36,$B47,'Projections by County'!$C$10:$C$36,"Natural Gas",'Projections by County'!$B$10:$B$36,"Commercial")</f>
        <v>2153065.0279999999</v>
      </c>
      <c r="W47" s="116"/>
      <c r="X47" s="116">
        <f>IFERROR(SUMIF('nres bld data'!$V$3:$V$254,"="&amp;$B47&amp;$C47&amp;$D47,'nres bld data'!P$3:P$254)/SUMIF('nres bld data'!$V$3:$V$254,"="&amp;$B47&amp;$C47&amp;$D47,'nres bld data'!$T$3:$T$254),0)</f>
        <v>1</v>
      </c>
      <c r="Y47" s="116">
        <f>IFERROR(SUMIF('nres bld data'!$V$3:$V$254,"="&amp;$B47&amp;$C47&amp;$D47,'nres bld data'!Q$3:Q$254)/SUMIF('nres bld data'!$V$3:$V$254,"="&amp;$B47&amp;$C47&amp;$D47,'nres bld data'!$T$3:$T$254),0)</f>
        <v>0</v>
      </c>
      <c r="AA47" s="116">
        <f ca="1">IFERROR(SUMIF('nres bld data'!$V$3:$V$254,"="&amp;$B47&amp;$C47&amp;$D47,'nres bld data'!P$3:P$254)/SUMIF('nres bld data'!$W$256:$W$297,"="&amp;$B47&amp;$C47,'nres bld data'!P$256:P$297),0)</f>
        <v>0.16814594926222481</v>
      </c>
      <c r="AB47" s="116">
        <f ca="1">IFERROR(SUMIF('nres bld data'!$V$3:$V$254,"="&amp;$B47&amp;$C47&amp;$D47,'nres bld data'!Q$3:Q$254)/SUMIF('nres bld data'!$W$256:$W$297,"="&amp;$B47&amp;$C47,'nres bld data'!Q$256:Q$297),0)</f>
        <v>0</v>
      </c>
    </row>
    <row r="48" spans="2:28">
      <c r="B48" s="20" t="s">
        <v>5</v>
      </c>
      <c r="C48" s="20" t="s">
        <v>457</v>
      </c>
      <c r="D48" s="20" t="s">
        <v>440</v>
      </c>
      <c r="E48" s="55">
        <f t="shared" ca="1" si="0"/>
        <v>3.8806034765439031E-3</v>
      </c>
      <c r="F48" s="55">
        <f t="shared" ca="1" si="1"/>
        <v>0</v>
      </c>
      <c r="G48" s="21">
        <f ca="1">IFERROR(SUMIF('nres bld data'!$A$3:$A$38,B48&amp;C48,'nres bld data'!$D$3:$D$38),0)</f>
        <v>8123090</v>
      </c>
      <c r="H48" s="21">
        <f t="shared" ref="H48:I48" ca="1" si="52">$T48*U48</f>
        <v>272856.9491088441</v>
      </c>
      <c r="I48" s="21">
        <f t="shared" ca="1" si="52"/>
        <v>328459.53446609434</v>
      </c>
      <c r="J48" s="21"/>
      <c r="K48" s="21"/>
      <c r="S48" s="115"/>
      <c r="T48" s="22">
        <f ca="1">G48/SUMIF('nres bld data'!$B$3:$B$38,$B48,'nres bld data'!$D$3:$D$38)</f>
        <v>0.15255439580067079</v>
      </c>
      <c r="U48" s="21">
        <f>SUMIFS('Projections by County'!$D$10:$D$36,'Projections by County'!$A$10:$A$36,$B48,'Projections by County'!$C$10:$C$36,"Electricity (kWh)",'Projections by County'!$B$10:$B$36,"Commercial")*BTU_per_kWh/1000000</f>
        <v>1788587.91761964</v>
      </c>
      <c r="V48" s="21">
        <f>SUMIFS('Projections by County'!$D$10:$D$36,'Projections by County'!$A$10:$A$36,$B48,'Projections by County'!$C$10:$C$36,"Natural Gas",'Projections by County'!$B$10:$B$36,"Commercial")</f>
        <v>2153065.0279999999</v>
      </c>
      <c r="W48" s="116"/>
      <c r="X48" s="116">
        <f>IFERROR(SUMIF('nres bld data'!$V$3:$V$254,"="&amp;$B48&amp;$C48&amp;$D48,'nres bld data'!P$3:P$254)/SUMIF('nres bld data'!$V$3:$V$254,"="&amp;$B48&amp;$C48&amp;$D48,'nres bld data'!$T$3:$T$254),0)</f>
        <v>1</v>
      </c>
      <c r="Y48" s="116">
        <f>IFERROR(SUMIF('nres bld data'!$V$3:$V$254,"="&amp;$B48&amp;$C48&amp;$D48,'nres bld data'!Q$3:Q$254)/SUMIF('nres bld data'!$V$3:$V$254,"="&amp;$B48&amp;$C48&amp;$D48,'nres bld data'!$T$3:$T$254),0)</f>
        <v>0</v>
      </c>
      <c r="AA48" s="116">
        <f ca="1">IFERROR(SUMIF('nres bld data'!$V$3:$V$254,"="&amp;$B48&amp;$C48&amp;$D48,'nres bld data'!P$3:P$254)/SUMIF('nres bld data'!$W$256:$W$297,"="&amp;$B48&amp;$C48,'nres bld data'!P$256:P$297),0)</f>
        <v>0.11552753703811489</v>
      </c>
      <c r="AB48" s="116">
        <f ca="1">IFERROR(SUMIF('nres bld data'!$V$3:$V$254,"="&amp;$B48&amp;$C48&amp;$D48,'nres bld data'!Q$3:Q$254)/SUMIF('nres bld data'!$W$256:$W$297,"="&amp;$B48&amp;$C48,'nres bld data'!Q$256:Q$297),0)</f>
        <v>0</v>
      </c>
    </row>
    <row r="49" spans="2:28">
      <c r="B49" s="20" t="s">
        <v>5</v>
      </c>
      <c r="C49" s="20" t="s">
        <v>457</v>
      </c>
      <c r="D49" s="20" t="s">
        <v>443</v>
      </c>
      <c r="E49" s="55">
        <f t="shared" ca="1" si="0"/>
        <v>2.6539746876752856E-3</v>
      </c>
      <c r="F49" s="55">
        <f t="shared" ca="1" si="1"/>
        <v>1.1595010687351959E-2</v>
      </c>
      <c r="G49" s="21">
        <f ca="1">IFERROR(SUMIF('nres bld data'!$A$3:$A$38,B49&amp;C49,'nres bld data'!$D$3:$D$38),0)</f>
        <v>8123090</v>
      </c>
      <c r="H49" s="21">
        <f t="shared" ref="H49:I49" ca="1" si="53">$T49*U49</f>
        <v>272856.9491088441</v>
      </c>
      <c r="I49" s="21">
        <f t="shared" ca="1" si="53"/>
        <v>328459.53446609434</v>
      </c>
      <c r="J49" s="21"/>
      <c r="K49" s="21"/>
      <c r="S49" s="115"/>
      <c r="T49" s="22">
        <f ca="1">G49/SUMIF('nres bld data'!$B$3:$B$38,$B49,'nres bld data'!$D$3:$D$38)</f>
        <v>0.15255439580067079</v>
      </c>
      <c r="U49" s="21">
        <f>SUMIFS('Projections by County'!$D$10:$D$36,'Projections by County'!$A$10:$A$36,$B49,'Projections by County'!$C$10:$C$36,"Electricity (kWh)",'Projections by County'!$B$10:$B$36,"Commercial")*BTU_per_kWh/1000000</f>
        <v>1788587.91761964</v>
      </c>
      <c r="V49" s="21">
        <f>SUMIFS('Projections by County'!$D$10:$D$36,'Projections by County'!$A$10:$A$36,$B49,'Projections by County'!$C$10:$C$36,"Natural Gas",'Projections by County'!$B$10:$B$36,"Commercial")</f>
        <v>2153065.0279999999</v>
      </c>
      <c r="W49" s="116"/>
      <c r="X49" s="116">
        <f>IFERROR(SUMIF('nres bld data'!$V$3:$V$254,"="&amp;$B49&amp;$C49&amp;$D49,'nres bld data'!P$3:P$254)/SUMIF('nres bld data'!$V$3:$V$254,"="&amp;$B49&amp;$C49&amp;$D49,'nres bld data'!$T$3:$T$254),0)</f>
        <v>0.11089468698545578</v>
      </c>
      <c r="Y49" s="116">
        <f>IFERROR(SUMIF('nres bld data'!$V$3:$V$254,"="&amp;$B49&amp;$C49&amp;$D49,'nres bld data'!Q$3:Q$254)/SUMIF('nres bld data'!$V$3:$V$254,"="&amp;$B49&amp;$C49&amp;$D49,'nres bld data'!$T$3:$T$254),0)</f>
        <v>0.88910531301454421</v>
      </c>
      <c r="AA49" s="116">
        <f ca="1">IFERROR(SUMIF('nres bld data'!$V$3:$V$254,"="&amp;$B49&amp;$C49&amp;$D49,'nres bld data'!P$3:P$254)/SUMIF('nres bld data'!$W$256:$W$297,"="&amp;$B49&amp;$C49,'nres bld data'!P$256:P$297),0)</f>
        <v>7.9010174804484981E-2</v>
      </c>
      <c r="AB49" s="116">
        <f ca="1">IFERROR(SUMIF('nres bld data'!$V$3:$V$254,"="&amp;$B49&amp;$C49&amp;$D49,'nres bld data'!Q$3:Q$254)/SUMIF('nres bld data'!$W$256:$W$297,"="&amp;$B49&amp;$C49,'nres bld data'!Q$256:Q$297),0)</f>
        <v>0.2867547002933612</v>
      </c>
    </row>
    <row r="50" spans="2:28">
      <c r="B50" s="20" t="s">
        <v>5</v>
      </c>
      <c r="C50" s="20" t="s">
        <v>457</v>
      </c>
      <c r="D50" s="20" t="s">
        <v>445</v>
      </c>
      <c r="E50" s="55">
        <f t="shared" ca="1" si="0"/>
        <v>4.8373626557648937E-4</v>
      </c>
      <c r="F50" s="55">
        <f t="shared" ca="1" si="1"/>
        <v>3.5180165347781719E-3</v>
      </c>
      <c r="G50" s="21">
        <f ca="1">IFERROR(SUMIF('nres bld data'!$A$3:$A$38,B50&amp;C50,'nres bld data'!$D$3:$D$38),0)</f>
        <v>8123090</v>
      </c>
      <c r="H50" s="21">
        <f t="shared" ref="H50:I50" ca="1" si="54">$T50*U50</f>
        <v>272856.9491088441</v>
      </c>
      <c r="I50" s="21">
        <f t="shared" ca="1" si="54"/>
        <v>328459.53446609434</v>
      </c>
      <c r="J50" s="21"/>
      <c r="K50" s="21"/>
      <c r="S50" s="115"/>
      <c r="T50" s="22">
        <f ca="1">G50/SUMIF('nres bld data'!$B$3:$B$38,$B50,'nres bld data'!$D$3:$D$38)</f>
        <v>0.15255439580067079</v>
      </c>
      <c r="U50" s="21">
        <f>SUMIFS('Projections by County'!$D$10:$D$36,'Projections by County'!$A$10:$A$36,$B50,'Projections by County'!$C$10:$C$36,"Electricity (kWh)",'Projections by County'!$B$10:$B$36,"Commercial")*BTU_per_kWh/1000000</f>
        <v>1788587.91761964</v>
      </c>
      <c r="V50" s="21">
        <f>SUMIFS('Projections by County'!$D$10:$D$36,'Projections by County'!$A$10:$A$36,$B50,'Projections by County'!$C$10:$C$36,"Natural Gas",'Projections by County'!$B$10:$B$36,"Commercial")</f>
        <v>2153065.0279999999</v>
      </c>
      <c r="W50" s="116"/>
      <c r="X50" s="116">
        <f>IFERROR(SUMIF('nres bld data'!$V$3:$V$254,"="&amp;$B50&amp;$C50&amp;$D50,'nres bld data'!P$3:P$254)/SUMIF('nres bld data'!$V$3:$V$254,"="&amp;$B50&amp;$C50&amp;$D50,'nres bld data'!$T$3:$T$254),0)</f>
        <v>6.970491597129326E-2</v>
      </c>
      <c r="Y50" s="116">
        <f>IFERROR(SUMIF('nres bld data'!$V$3:$V$254,"="&amp;$B50&amp;$C50&amp;$D50,'nres bld data'!Q$3:Q$254)/SUMIF('nres bld data'!$V$3:$V$254,"="&amp;$B50&amp;$C50&amp;$D50,'nres bld data'!$T$3:$T$254),0)</f>
        <v>0.93029508402870675</v>
      </c>
      <c r="AA50" s="116">
        <f ca="1">IFERROR(SUMIF('nres bld data'!$V$3:$V$254,"="&amp;$B50&amp;$C50&amp;$D50,'nres bld data'!P$3:P$254)/SUMIF('nres bld data'!$W$256:$W$297,"="&amp;$B50&amp;$C50,'nres bld data'!P$256:P$297),0)</f>
        <v>1.4401074388522363E-2</v>
      </c>
      <c r="AB50" s="116">
        <f ca="1">IFERROR(SUMIF('nres bld data'!$V$3:$V$254,"="&amp;$B50&amp;$C50&amp;$D50,'nres bld data'!Q$3:Q$254)/SUMIF('nres bld data'!$W$256:$W$297,"="&amp;$B50&amp;$C50,'nres bld data'!Q$256:Q$297),0)</f>
        <v>8.7003609074533153E-2</v>
      </c>
    </row>
    <row r="51" spans="2:28">
      <c r="B51" s="20" t="s">
        <v>5</v>
      </c>
      <c r="C51" s="20" t="s">
        <v>430</v>
      </c>
      <c r="D51" s="20" t="s">
        <v>429</v>
      </c>
      <c r="E51" s="55">
        <f t="shared" ca="1" si="0"/>
        <v>3.8704820985774593E-3</v>
      </c>
      <c r="F51" s="55">
        <f t="shared" ca="1" si="1"/>
        <v>0</v>
      </c>
      <c r="G51" s="21">
        <f ca="1">IFERROR(SUMIF('nres bld data'!$A$3:$A$38,B51&amp;C51,'nres bld data'!$D$3:$D$38),0)</f>
        <v>16112615</v>
      </c>
      <c r="H51" s="21">
        <f t="shared" ref="H51:I51" ca="1" si="55">$T51*U51</f>
        <v>541227.41112869594</v>
      </c>
      <c r="I51" s="21">
        <f t="shared" ca="1" si="55"/>
        <v>651518.32885409473</v>
      </c>
      <c r="J51" s="21"/>
      <c r="K51" s="21"/>
      <c r="S51" s="115"/>
      <c r="T51" s="22">
        <f ca="1">G51/SUMIF('nres bld data'!$B$3:$B$38,$B51,'nres bld data'!$D$3:$D$38)</f>
        <v>0.30260039542758055</v>
      </c>
      <c r="U51" s="21">
        <f>SUMIFS('Projections by County'!$D$10:$D$36,'Projections by County'!$A$10:$A$36,$B51,'Projections by County'!$C$10:$C$36,"Electricity (kWh)",'Projections by County'!$B$10:$B$36,"Commercial")*BTU_per_kWh/1000000</f>
        <v>1788587.91761964</v>
      </c>
      <c r="V51" s="21">
        <f>SUMIFS('Projections by County'!$D$10:$D$36,'Projections by County'!$A$10:$A$36,$B51,'Projections by County'!$C$10:$C$36,"Natural Gas",'Projections by County'!$B$10:$B$36,"Commercial")</f>
        <v>2153065.0279999999</v>
      </c>
      <c r="W51" s="116"/>
      <c r="X51" s="116">
        <f>IFERROR(SUMIF('nres bld data'!$V$3:$V$254,"="&amp;$B51&amp;$C51&amp;$D51,'nres bld data'!P$3:P$254)/SUMIF('nres bld data'!$V$3:$V$254,"="&amp;$B51&amp;$C51&amp;$D51,'nres bld data'!$T$3:$T$254),0)</f>
        <v>1</v>
      </c>
      <c r="Y51" s="116">
        <f>IFERROR(SUMIF('nres bld data'!$V$3:$V$254,"="&amp;$B51&amp;$C51&amp;$D51,'nres bld data'!Q$3:Q$254)/SUMIF('nres bld data'!$V$3:$V$254,"="&amp;$B51&amp;$C51&amp;$D51,'nres bld data'!$T$3:$T$254),0)</f>
        <v>0</v>
      </c>
      <c r="AA51" s="116">
        <f ca="1">IFERROR(SUMIF('nres bld data'!$V$3:$V$254,"="&amp;$B51&amp;$C51&amp;$D51,'nres bld data'!P$3:P$254)/SUMIF('nres bld data'!$W$256:$W$297,"="&amp;$B51&amp;$C51,'nres bld data'!P$256:P$297),0)</f>
        <v>0.11522621847388566</v>
      </c>
      <c r="AB51" s="116">
        <f ca="1">IFERROR(SUMIF('nres bld data'!$V$3:$V$254,"="&amp;$B51&amp;$C51&amp;$D51,'nres bld data'!Q$3:Q$254)/SUMIF('nres bld data'!$W$256:$W$297,"="&amp;$B51&amp;$C51,'nres bld data'!Q$256:Q$297),0)</f>
        <v>0</v>
      </c>
    </row>
    <row r="52" spans="2:28">
      <c r="B52" s="20" t="s">
        <v>5</v>
      </c>
      <c r="C52" s="20" t="s">
        <v>430</v>
      </c>
      <c r="D52" s="20" t="s">
        <v>433</v>
      </c>
      <c r="E52" s="55">
        <f t="shared" ca="1" si="0"/>
        <v>5.9697421245077653E-3</v>
      </c>
      <c r="F52" s="55">
        <f t="shared" ca="1" si="1"/>
        <v>0</v>
      </c>
      <c r="G52" s="21">
        <f ca="1">IFERROR(SUMIF('nres bld data'!$A$3:$A$38,B52&amp;C52,'nres bld data'!$D$3:$D$38),0)</f>
        <v>16112615</v>
      </c>
      <c r="H52" s="21">
        <f t="shared" ref="H52:I52" ca="1" si="56">$T52*U52</f>
        <v>541227.41112869594</v>
      </c>
      <c r="I52" s="21">
        <f t="shared" ca="1" si="56"/>
        <v>651518.32885409473</v>
      </c>
      <c r="J52" s="21"/>
      <c r="K52" s="21"/>
      <c r="S52" s="115"/>
      <c r="T52" s="22">
        <f ca="1">G52/SUMIF('nres bld data'!$B$3:$B$38,$B52,'nres bld data'!$D$3:$D$38)</f>
        <v>0.30260039542758055</v>
      </c>
      <c r="U52" s="21">
        <f>SUMIFS('Projections by County'!$D$10:$D$36,'Projections by County'!$A$10:$A$36,$B52,'Projections by County'!$C$10:$C$36,"Electricity (kWh)",'Projections by County'!$B$10:$B$36,"Commercial")*BTU_per_kWh/1000000</f>
        <v>1788587.91761964</v>
      </c>
      <c r="V52" s="21">
        <f>SUMIFS('Projections by County'!$D$10:$D$36,'Projections by County'!$A$10:$A$36,$B52,'Projections by County'!$C$10:$C$36,"Natural Gas",'Projections by County'!$B$10:$B$36,"Commercial")</f>
        <v>2153065.0279999999</v>
      </c>
      <c r="W52" s="116"/>
      <c r="X52" s="116">
        <f>IFERROR(SUMIF('nres bld data'!$V$3:$V$254,"="&amp;$B52&amp;$C52&amp;$D52,'nres bld data'!P$3:P$254)/SUMIF('nres bld data'!$V$3:$V$254,"="&amp;$B52&amp;$C52&amp;$D52,'nres bld data'!$T$3:$T$254),0)</f>
        <v>1</v>
      </c>
      <c r="Y52" s="116">
        <f>IFERROR(SUMIF('nres bld data'!$V$3:$V$254,"="&amp;$B52&amp;$C52&amp;$D52,'nres bld data'!Q$3:Q$254)/SUMIF('nres bld data'!$V$3:$V$254,"="&amp;$B52&amp;$C52&amp;$D52,'nres bld data'!$T$3:$T$254),0)</f>
        <v>0</v>
      </c>
      <c r="AA52" s="116">
        <f ca="1">IFERROR(SUMIF('nres bld data'!$V$3:$V$254,"="&amp;$B52&amp;$C52&amp;$D52,'nres bld data'!P$3:P$254)/SUMIF('nres bld data'!$W$256:$W$297,"="&amp;$B52&amp;$C52,'nres bld data'!P$256:P$297),0)</f>
        <v>0.1777222559753234</v>
      </c>
      <c r="AB52" s="116">
        <f ca="1">IFERROR(SUMIF('nres bld data'!$V$3:$V$254,"="&amp;$B52&amp;$C52&amp;$D52,'nres bld data'!Q$3:Q$254)/SUMIF('nres bld data'!$W$256:$W$297,"="&amp;$B52&amp;$C52,'nres bld data'!Q$256:Q$297),0)</f>
        <v>0</v>
      </c>
    </row>
    <row r="53" spans="2:28">
      <c r="B53" s="20" t="s">
        <v>5</v>
      </c>
      <c r="C53" s="20" t="s">
        <v>430</v>
      </c>
      <c r="D53" s="20" t="s">
        <v>437</v>
      </c>
      <c r="E53" s="55">
        <f t="shared" ca="1" si="0"/>
        <v>1.8446556975978461E-2</v>
      </c>
      <c r="F53" s="55">
        <f t="shared" ca="1" si="1"/>
        <v>0</v>
      </c>
      <c r="G53" s="21">
        <f ca="1">IFERROR(SUMIF('nres bld data'!$A$3:$A$38,B53&amp;C53,'nres bld data'!$D$3:$D$38),0)</f>
        <v>16112615</v>
      </c>
      <c r="H53" s="21">
        <f t="shared" ref="H53:I53" ca="1" si="57">$T53*U53</f>
        <v>541227.41112869594</v>
      </c>
      <c r="I53" s="21">
        <f t="shared" ca="1" si="57"/>
        <v>651518.32885409473</v>
      </c>
      <c r="J53" s="21"/>
      <c r="K53" s="21"/>
      <c r="S53" s="115"/>
      <c r="T53" s="22">
        <f ca="1">G53/SUMIF('nres bld data'!$B$3:$B$38,$B53,'nres bld data'!$D$3:$D$38)</f>
        <v>0.30260039542758055</v>
      </c>
      <c r="U53" s="21">
        <f>SUMIFS('Projections by County'!$D$10:$D$36,'Projections by County'!$A$10:$A$36,$B53,'Projections by County'!$C$10:$C$36,"Electricity (kWh)",'Projections by County'!$B$10:$B$36,"Commercial")*BTU_per_kWh/1000000</f>
        <v>1788587.91761964</v>
      </c>
      <c r="V53" s="21">
        <f>SUMIFS('Projections by County'!$D$10:$D$36,'Projections by County'!$A$10:$A$36,$B53,'Projections by County'!$C$10:$C$36,"Natural Gas",'Projections by County'!$B$10:$B$36,"Commercial")</f>
        <v>2153065.0279999999</v>
      </c>
      <c r="W53" s="116"/>
      <c r="X53" s="116">
        <f>IFERROR(SUMIF('nres bld data'!$V$3:$V$254,"="&amp;$B53&amp;$C53&amp;$D53,'nres bld data'!P$3:P$254)/SUMIF('nres bld data'!$V$3:$V$254,"="&amp;$B53&amp;$C53&amp;$D53,'nres bld data'!$T$3:$T$254),0)</f>
        <v>1</v>
      </c>
      <c r="Y53" s="116">
        <f>IFERROR(SUMIF('nres bld data'!$V$3:$V$254,"="&amp;$B53&amp;$C53&amp;$D53,'nres bld data'!Q$3:Q$254)/SUMIF('nres bld data'!$V$3:$V$254,"="&amp;$B53&amp;$C53&amp;$D53,'nres bld data'!$T$3:$T$254),0)</f>
        <v>0</v>
      </c>
      <c r="AA53" s="116">
        <f ca="1">IFERROR(SUMIF('nres bld data'!$V$3:$V$254,"="&amp;$B53&amp;$C53&amp;$D53,'nres bld data'!P$3:P$254)/SUMIF('nres bld data'!$W$256:$W$297,"="&amp;$B53&amp;$C53,'nres bld data'!P$256:P$297),0)</f>
        <v>0.54916337295198459</v>
      </c>
      <c r="AB53" s="116">
        <f ca="1">IFERROR(SUMIF('nres bld data'!$V$3:$V$254,"="&amp;$B53&amp;$C53&amp;$D53,'nres bld data'!Q$3:Q$254)/SUMIF('nres bld data'!$W$256:$W$297,"="&amp;$B53&amp;$C53,'nres bld data'!Q$256:Q$297),0)</f>
        <v>0</v>
      </c>
    </row>
    <row r="54" spans="2:28">
      <c r="B54" s="20" t="s">
        <v>5</v>
      </c>
      <c r="C54" s="20" t="s">
        <v>430</v>
      </c>
      <c r="D54" s="20" t="s">
        <v>440</v>
      </c>
      <c r="E54" s="55">
        <f t="shared" ca="1" si="0"/>
        <v>3.0700475672391547E-3</v>
      </c>
      <c r="F54" s="55">
        <f t="shared" ca="1" si="1"/>
        <v>0</v>
      </c>
      <c r="G54" s="21">
        <f ca="1">IFERROR(SUMIF('nres bld data'!$A$3:$A$38,B54&amp;C54,'nres bld data'!$D$3:$D$38),0)</f>
        <v>16112615</v>
      </c>
      <c r="H54" s="21">
        <f t="shared" ref="H54:I54" ca="1" si="58">$T54*U54</f>
        <v>541227.41112869594</v>
      </c>
      <c r="I54" s="21">
        <f t="shared" ca="1" si="58"/>
        <v>651518.32885409473</v>
      </c>
      <c r="J54" s="21"/>
      <c r="K54" s="21"/>
      <c r="S54" s="115"/>
      <c r="T54" s="22">
        <f ca="1">G54/SUMIF('nres bld data'!$B$3:$B$38,$B54,'nres bld data'!$D$3:$D$38)</f>
        <v>0.30260039542758055</v>
      </c>
      <c r="U54" s="21">
        <f>SUMIFS('Projections by County'!$D$10:$D$36,'Projections by County'!$A$10:$A$36,$B54,'Projections by County'!$C$10:$C$36,"Electricity (kWh)",'Projections by County'!$B$10:$B$36,"Commercial")*BTU_per_kWh/1000000</f>
        <v>1788587.91761964</v>
      </c>
      <c r="V54" s="21">
        <f>SUMIFS('Projections by County'!$D$10:$D$36,'Projections by County'!$A$10:$A$36,$B54,'Projections by County'!$C$10:$C$36,"Natural Gas",'Projections by County'!$B$10:$B$36,"Commercial")</f>
        <v>2153065.0279999999</v>
      </c>
      <c r="W54" s="116"/>
      <c r="X54" s="116">
        <f>IFERROR(SUMIF('nres bld data'!$V$3:$V$254,"="&amp;$B54&amp;$C54&amp;$D54,'nres bld data'!P$3:P$254)/SUMIF('nres bld data'!$V$3:$V$254,"="&amp;$B54&amp;$C54&amp;$D54,'nres bld data'!$T$3:$T$254),0)</f>
        <v>1</v>
      </c>
      <c r="Y54" s="116">
        <f>IFERROR(SUMIF('nres bld data'!$V$3:$V$254,"="&amp;$B54&amp;$C54&amp;$D54,'nres bld data'!Q$3:Q$254)/SUMIF('nres bld data'!$V$3:$V$254,"="&amp;$B54&amp;$C54&amp;$D54,'nres bld data'!$T$3:$T$254),0)</f>
        <v>0</v>
      </c>
      <c r="AA54" s="116">
        <f ca="1">IFERROR(SUMIF('nres bld data'!$V$3:$V$254,"="&amp;$B54&amp;$C54&amp;$D54,'nres bld data'!P$3:P$254)/SUMIF('nres bld data'!$W$256:$W$297,"="&amp;$B54&amp;$C54,'nres bld data'!P$256:P$297),0)</f>
        <v>9.1396875815014308E-2</v>
      </c>
      <c r="AB54" s="116">
        <f ca="1">IFERROR(SUMIF('nres bld data'!$V$3:$V$254,"="&amp;$B54&amp;$C54&amp;$D54,'nres bld data'!Q$3:Q$254)/SUMIF('nres bld data'!$W$256:$W$297,"="&amp;$B54&amp;$C54,'nres bld data'!Q$256:Q$297),0)</f>
        <v>0</v>
      </c>
    </row>
    <row r="55" spans="2:28">
      <c r="B55" s="20" t="s">
        <v>5</v>
      </c>
      <c r="C55" s="20" t="s">
        <v>430</v>
      </c>
      <c r="D55" s="20" t="s">
        <v>443</v>
      </c>
      <c r="E55" s="55">
        <f t="shared" ca="1" si="0"/>
        <v>2.2334612721977981E-3</v>
      </c>
      <c r="F55" s="55">
        <f t="shared" ca="1" si="1"/>
        <v>4.0435294261924257E-2</v>
      </c>
      <c r="G55" s="21">
        <f ca="1">IFERROR(SUMIF('nres bld data'!$A$3:$A$38,B55&amp;C55,'nres bld data'!$D$3:$D$38),0)</f>
        <v>16112615</v>
      </c>
      <c r="H55" s="21">
        <f t="shared" ref="H55:I55" ca="1" si="59">$T55*U55</f>
        <v>541227.41112869594</v>
      </c>
      <c r="I55" s="21">
        <f t="shared" ca="1" si="59"/>
        <v>651518.32885409473</v>
      </c>
      <c r="J55" s="21"/>
      <c r="K55" s="21"/>
      <c r="S55" s="115"/>
      <c r="T55" s="22">
        <f ca="1">G55/SUMIF('nres bld data'!$B$3:$B$38,$B55,'nres bld data'!$D$3:$D$38)</f>
        <v>0.30260039542758055</v>
      </c>
      <c r="U55" s="21">
        <f>SUMIFS('Projections by County'!$D$10:$D$36,'Projections by County'!$A$10:$A$36,$B55,'Projections by County'!$C$10:$C$36,"Electricity (kWh)",'Projections by County'!$B$10:$B$36,"Commercial")*BTU_per_kWh/1000000</f>
        <v>1788587.91761964</v>
      </c>
      <c r="V55" s="21">
        <f>SUMIFS('Projections by County'!$D$10:$D$36,'Projections by County'!$A$10:$A$36,$B55,'Projections by County'!$C$10:$C$36,"Natural Gas",'Projections by County'!$B$10:$B$36,"Commercial")</f>
        <v>2153065.0279999999</v>
      </c>
      <c r="W55" s="116"/>
      <c r="X55" s="116">
        <f>IFERROR(SUMIF('nres bld data'!$V$3:$V$254,"="&amp;$B55&amp;$C55&amp;$D55,'nres bld data'!P$3:P$254)/SUMIF('nres bld data'!$V$3:$V$254,"="&amp;$B55&amp;$C55&amp;$D55,'nres bld data'!$T$3:$T$254),0)</f>
        <v>0.10087748373376147</v>
      </c>
      <c r="Y55" s="116">
        <f>IFERROR(SUMIF('nres bld data'!$V$3:$V$254,"="&amp;$B55&amp;$C55&amp;$D55,'nres bld data'!Q$3:Q$254)/SUMIF('nres bld data'!$V$3:$V$254,"="&amp;$B55&amp;$C55&amp;$D55,'nres bld data'!$T$3:$T$254),0)</f>
        <v>0.86770252202281528</v>
      </c>
      <c r="AA55" s="116">
        <f ca="1">IFERROR(SUMIF('nres bld data'!$V$3:$V$254,"="&amp;$B55&amp;$C55&amp;$D55,'nres bld data'!P$3:P$254)/SUMIF('nres bld data'!$W$256:$W$297,"="&amp;$B55&amp;$C55,'nres bld data'!P$256:P$297),0)</f>
        <v>6.6491276783792019E-2</v>
      </c>
      <c r="AB55" s="116">
        <f ca="1">IFERROR(SUMIF('nres bld data'!$V$3:$V$254,"="&amp;$B55&amp;$C55&amp;$D55,'nres bld data'!Q$3:Q$254)/SUMIF('nres bld data'!$W$256:$W$297,"="&amp;$B55&amp;$C55,'nres bld data'!Q$256:Q$297),0)</f>
        <v>1</v>
      </c>
    </row>
    <row r="56" spans="2:28">
      <c r="B56" s="20" t="s">
        <v>5</v>
      </c>
      <c r="C56" s="20" t="s">
        <v>430</v>
      </c>
      <c r="D56" s="20" t="s">
        <v>445</v>
      </c>
      <c r="E56" s="55">
        <f t="shared" ca="1" si="0"/>
        <v>0</v>
      </c>
      <c r="F56" s="55">
        <f t="shared" ca="1" si="1"/>
        <v>0</v>
      </c>
      <c r="G56" s="21">
        <f ca="1">IFERROR(SUMIF('nres bld data'!$A$3:$A$38,B56&amp;C56,'nres bld data'!$D$3:$D$38),0)</f>
        <v>16112615</v>
      </c>
      <c r="H56" s="21">
        <f t="shared" ref="H56:I56" ca="1" si="60">$T56*U56</f>
        <v>541227.41112869594</v>
      </c>
      <c r="I56" s="21">
        <f t="shared" ca="1" si="60"/>
        <v>651518.32885409473</v>
      </c>
      <c r="J56" s="21"/>
      <c r="K56" s="21"/>
      <c r="S56" s="115"/>
      <c r="T56" s="22">
        <f ca="1">G56/SUMIF('nres bld data'!$B$3:$B$38,$B56,'nres bld data'!$D$3:$D$38)</f>
        <v>0.30260039542758055</v>
      </c>
      <c r="U56" s="21">
        <f>SUMIFS('Projections by County'!$D$10:$D$36,'Projections by County'!$A$10:$A$36,$B56,'Projections by County'!$C$10:$C$36,"Electricity (kWh)",'Projections by County'!$B$10:$B$36,"Commercial")*BTU_per_kWh/1000000</f>
        <v>1788587.91761964</v>
      </c>
      <c r="V56" s="21">
        <f>SUMIFS('Projections by County'!$D$10:$D$36,'Projections by County'!$A$10:$A$36,$B56,'Projections by County'!$C$10:$C$36,"Natural Gas",'Projections by County'!$B$10:$B$36,"Commercial")</f>
        <v>2153065.0279999999</v>
      </c>
      <c r="W56" s="116"/>
      <c r="X56" s="116">
        <f>IFERROR(SUMIF('nres bld data'!$V$3:$V$254,"="&amp;$B56&amp;$C56&amp;$D56,'nres bld data'!P$3:P$254)/SUMIF('nres bld data'!$V$3:$V$254,"="&amp;$B56&amp;$C56&amp;$D56,'nres bld data'!$T$3:$T$254),0)</f>
        <v>0</v>
      </c>
      <c r="Y56" s="116">
        <f>IFERROR(SUMIF('nres bld data'!$V$3:$V$254,"="&amp;$B56&amp;$C56&amp;$D56,'nres bld data'!Q$3:Q$254)/SUMIF('nres bld data'!$V$3:$V$254,"="&amp;$B56&amp;$C56&amp;$D56,'nres bld data'!$T$3:$T$254),0)</f>
        <v>0</v>
      </c>
      <c r="AA56" s="116">
        <f ca="1">IFERROR(SUMIF('nres bld data'!$V$3:$V$254,"="&amp;$B56&amp;$C56&amp;$D56,'nres bld data'!P$3:P$254)/SUMIF('nres bld data'!$W$256:$W$297,"="&amp;$B56&amp;$C56,'nres bld data'!P$256:P$297),0)</f>
        <v>0</v>
      </c>
      <c r="AB56" s="116">
        <f ca="1">IFERROR(SUMIF('nres bld data'!$V$3:$V$254,"="&amp;$B56&amp;$C56&amp;$D56,'nres bld data'!Q$3:Q$254)/SUMIF('nres bld data'!$W$256:$W$297,"="&amp;$B56&amp;$C56,'nres bld data'!Q$256:Q$297),0)</f>
        <v>0</v>
      </c>
    </row>
    <row r="57" spans="2:28">
      <c r="B57" s="20" t="s">
        <v>5</v>
      </c>
      <c r="C57" s="20" t="s">
        <v>462</v>
      </c>
      <c r="D57" s="20" t="s">
        <v>429</v>
      </c>
      <c r="E57" s="55">
        <f t="shared" ca="1" si="0"/>
        <v>0</v>
      </c>
      <c r="F57" s="55">
        <f t="shared" ca="1" si="1"/>
        <v>0</v>
      </c>
      <c r="G57" s="21">
        <f>IFERROR(SUMIF('nres bld data'!$A$3:$A$38,B57&amp;C57,'nres bld data'!$D$3:$D$38),0)</f>
        <v>0</v>
      </c>
      <c r="H57" s="21">
        <f t="shared" ref="H57:I57" ca="1" si="61">$T57*U57</f>
        <v>0</v>
      </c>
      <c r="I57" s="21">
        <f t="shared" ca="1" si="61"/>
        <v>0</v>
      </c>
      <c r="J57" s="21"/>
      <c r="K57" s="21"/>
      <c r="S57" s="115"/>
      <c r="T57" s="22">
        <f ca="1">G57/SUMIF('nres bld data'!$B$3:$B$38,$B57,'nres bld data'!$D$3:$D$38)</f>
        <v>0</v>
      </c>
      <c r="U57" s="21">
        <f>SUMIFS('Projections by County'!$D$10:$D$36,'Projections by County'!$A$10:$A$36,$B57,'Projections by County'!$C$10:$C$36,"Electricity (kWh)",'Projections by County'!$B$10:$B$36,"Commercial")*BTU_per_kWh/1000000</f>
        <v>1788587.91761964</v>
      </c>
      <c r="V57" s="21">
        <f>SUMIFS('Projections by County'!$D$10:$D$36,'Projections by County'!$A$10:$A$36,$B57,'Projections by County'!$C$10:$C$36,"Natural Gas",'Projections by County'!$B$10:$B$36,"Commercial")</f>
        <v>2153065.0279999999</v>
      </c>
      <c r="W57" s="116"/>
      <c r="X57" s="116">
        <f>IFERROR(SUMIF('nres bld data'!$V$3:$V$254,"="&amp;$B57&amp;$C57&amp;$D57,'nres bld data'!P$3:P$254)/SUMIF('nres bld data'!$V$3:$V$254,"="&amp;$B57&amp;$C57&amp;$D57,'nres bld data'!$T$3:$T$254),0)</f>
        <v>0.38068542633716795</v>
      </c>
      <c r="Y57" s="116">
        <f>IFERROR(SUMIF('nres bld data'!$V$3:$V$254,"="&amp;$B57&amp;$C57&amp;$D57,'nres bld data'!Q$3:Q$254)/SUMIF('nres bld data'!$V$3:$V$254,"="&amp;$B57&amp;$C57&amp;$D57,'nres bld data'!$T$3:$T$254),0)</f>
        <v>0.61931457366283205</v>
      </c>
      <c r="AA57" s="116">
        <f ca="1">IFERROR(SUMIF('nres bld data'!$V$3:$V$254,"="&amp;$B57&amp;$C57&amp;$D57,'nres bld data'!P$3:P$254)/SUMIF('nres bld data'!$W$256:$W$297,"="&amp;$B57&amp;$C57,'nres bld data'!P$256:P$297),0)</f>
        <v>0.20280199531012535</v>
      </c>
      <c r="AB57" s="116">
        <f ca="1">IFERROR(SUMIF('nres bld data'!$V$3:$V$254,"="&amp;$B57&amp;$C57&amp;$D57,'nres bld data'!Q$3:Q$254)/SUMIF('nres bld data'!$W$256:$W$297,"="&amp;$B57&amp;$C57,'nres bld data'!Q$256:Q$297),0)</f>
        <v>0.56236598202747023</v>
      </c>
    </row>
    <row r="58" spans="2:28">
      <c r="B58" s="20" t="s">
        <v>5</v>
      </c>
      <c r="C58" s="20" t="s">
        <v>462</v>
      </c>
      <c r="D58" s="20" t="s">
        <v>433</v>
      </c>
      <c r="E58" s="55">
        <f t="shared" ca="1" si="0"/>
        <v>0</v>
      </c>
      <c r="F58" s="55">
        <f t="shared" ca="1" si="1"/>
        <v>0</v>
      </c>
      <c r="G58" s="21">
        <f>IFERROR(SUMIF('nres bld data'!$A$3:$A$38,B58&amp;C58,'nres bld data'!$D$3:$D$38),0)</f>
        <v>0</v>
      </c>
      <c r="H58" s="21">
        <f t="shared" ref="H58:I58" ca="1" si="62">$T58*U58</f>
        <v>0</v>
      </c>
      <c r="I58" s="21">
        <f t="shared" ca="1" si="62"/>
        <v>0</v>
      </c>
      <c r="J58" s="21"/>
      <c r="K58" s="21"/>
      <c r="S58" s="115"/>
      <c r="T58" s="22">
        <f ca="1">G58/SUMIF('nres bld data'!$B$3:$B$38,$B58,'nres bld data'!$D$3:$D$38)</f>
        <v>0</v>
      </c>
      <c r="U58" s="21">
        <f>SUMIFS('Projections by County'!$D$10:$D$36,'Projections by County'!$A$10:$A$36,$B58,'Projections by County'!$C$10:$C$36,"Electricity (kWh)",'Projections by County'!$B$10:$B$36,"Commercial")*BTU_per_kWh/1000000</f>
        <v>1788587.91761964</v>
      </c>
      <c r="V58" s="21">
        <f>SUMIFS('Projections by County'!$D$10:$D$36,'Projections by County'!$A$10:$A$36,$B58,'Projections by County'!$C$10:$C$36,"Natural Gas",'Projections by County'!$B$10:$B$36,"Commercial")</f>
        <v>2153065.0279999999</v>
      </c>
      <c r="W58" s="116"/>
      <c r="X58" s="116">
        <f>IFERROR(SUMIF('nres bld data'!$V$3:$V$254,"="&amp;$B58&amp;$C58&amp;$D58,'nres bld data'!P$3:P$254)/SUMIF('nres bld data'!$V$3:$V$254,"="&amp;$B58&amp;$C58&amp;$D58,'nres bld data'!$T$3:$T$254),0)</f>
        <v>1</v>
      </c>
      <c r="Y58" s="116">
        <f>IFERROR(SUMIF('nres bld data'!$V$3:$V$254,"="&amp;$B58&amp;$C58&amp;$D58,'nres bld data'!Q$3:Q$254)/SUMIF('nres bld data'!$V$3:$V$254,"="&amp;$B58&amp;$C58&amp;$D58,'nres bld data'!$T$3:$T$254),0)</f>
        <v>0</v>
      </c>
      <c r="AA58" s="116">
        <f ca="1">IFERROR(SUMIF('nres bld data'!$V$3:$V$254,"="&amp;$B58&amp;$C58&amp;$D58,'nres bld data'!P$3:P$254)/SUMIF('nres bld data'!$W$256:$W$297,"="&amp;$B58&amp;$C58,'nres bld data'!P$256:P$297),0)</f>
        <v>0.16892536345242679</v>
      </c>
      <c r="AB58" s="116">
        <f ca="1">IFERROR(SUMIF('nres bld data'!$V$3:$V$254,"="&amp;$B58&amp;$C58&amp;$D58,'nres bld data'!Q$3:Q$254)/SUMIF('nres bld data'!$W$256:$W$297,"="&amp;$B58&amp;$C58,'nres bld data'!Q$256:Q$297),0)</f>
        <v>0</v>
      </c>
    </row>
    <row r="59" spans="2:28">
      <c r="B59" s="20" t="s">
        <v>5</v>
      </c>
      <c r="C59" s="20" t="s">
        <v>462</v>
      </c>
      <c r="D59" s="20" t="s">
        <v>437</v>
      </c>
      <c r="E59" s="55">
        <f t="shared" ca="1" si="0"/>
        <v>0</v>
      </c>
      <c r="F59" s="55">
        <f t="shared" ca="1" si="1"/>
        <v>0</v>
      </c>
      <c r="G59" s="21">
        <f>IFERROR(SUMIF('nres bld data'!$A$3:$A$38,B59&amp;C59,'nres bld data'!$D$3:$D$38),0)</f>
        <v>0</v>
      </c>
      <c r="H59" s="21">
        <f t="shared" ref="H59:I59" ca="1" si="63">$T59*U59</f>
        <v>0</v>
      </c>
      <c r="I59" s="21">
        <f t="shared" ca="1" si="63"/>
        <v>0</v>
      </c>
      <c r="J59" s="21"/>
      <c r="K59" s="21"/>
      <c r="S59" s="115"/>
      <c r="T59" s="22">
        <f ca="1">G59/SUMIF('nres bld data'!$B$3:$B$38,$B59,'nres bld data'!$D$3:$D$38)</f>
        <v>0</v>
      </c>
      <c r="U59" s="21">
        <f>SUMIFS('Projections by County'!$D$10:$D$36,'Projections by County'!$A$10:$A$36,$B59,'Projections by County'!$C$10:$C$36,"Electricity (kWh)",'Projections by County'!$B$10:$B$36,"Commercial")*BTU_per_kWh/1000000</f>
        <v>1788587.91761964</v>
      </c>
      <c r="V59" s="21">
        <f>SUMIFS('Projections by County'!$D$10:$D$36,'Projections by County'!$A$10:$A$36,$B59,'Projections by County'!$C$10:$C$36,"Natural Gas",'Projections by County'!$B$10:$B$36,"Commercial")</f>
        <v>2153065.0279999999</v>
      </c>
      <c r="W59" s="116"/>
      <c r="X59" s="116">
        <f>IFERROR(SUMIF('nres bld data'!$V$3:$V$254,"="&amp;$B59&amp;$C59&amp;$D59,'nres bld data'!P$3:P$254)/SUMIF('nres bld data'!$V$3:$V$254,"="&amp;$B59&amp;$C59&amp;$D59,'nres bld data'!$T$3:$T$254),0)</f>
        <v>1</v>
      </c>
      <c r="Y59" s="116">
        <f>IFERROR(SUMIF('nres bld data'!$V$3:$V$254,"="&amp;$B59&amp;$C59&amp;$D59,'nres bld data'!Q$3:Q$254)/SUMIF('nres bld data'!$V$3:$V$254,"="&amp;$B59&amp;$C59&amp;$D59,'nres bld data'!$T$3:$T$254),0)</f>
        <v>0</v>
      </c>
      <c r="AA59" s="116">
        <f ca="1">IFERROR(SUMIF('nres bld data'!$V$3:$V$254,"="&amp;$B59&amp;$C59&amp;$D59,'nres bld data'!P$3:P$254)/SUMIF('nres bld data'!$W$256:$W$297,"="&amp;$B59&amp;$C59,'nres bld data'!P$256:P$297),0)</f>
        <v>0.32395254971862941</v>
      </c>
      <c r="AB59" s="116">
        <f ca="1">IFERROR(SUMIF('nres bld data'!$V$3:$V$254,"="&amp;$B59&amp;$C59&amp;$D59,'nres bld data'!Q$3:Q$254)/SUMIF('nres bld data'!$W$256:$W$297,"="&amp;$B59&amp;$C59,'nres bld data'!Q$256:Q$297),0)</f>
        <v>0</v>
      </c>
    </row>
    <row r="60" spans="2:28">
      <c r="B60" s="20" t="s">
        <v>5</v>
      </c>
      <c r="C60" s="20" t="s">
        <v>462</v>
      </c>
      <c r="D60" s="20" t="s">
        <v>440</v>
      </c>
      <c r="E60" s="55">
        <f t="shared" ca="1" si="0"/>
        <v>0</v>
      </c>
      <c r="F60" s="55">
        <f t="shared" ca="1" si="1"/>
        <v>0</v>
      </c>
      <c r="G60" s="21">
        <f>IFERROR(SUMIF('nres bld data'!$A$3:$A$38,B60&amp;C60,'nres bld data'!$D$3:$D$38),0)</f>
        <v>0</v>
      </c>
      <c r="H60" s="21">
        <f t="shared" ref="H60:I60" ca="1" si="64">$T60*U60</f>
        <v>0</v>
      </c>
      <c r="I60" s="21">
        <f t="shared" ca="1" si="64"/>
        <v>0</v>
      </c>
      <c r="J60" s="21"/>
      <c r="K60" s="21"/>
      <c r="S60" s="115"/>
      <c r="T60" s="22">
        <f ca="1">G60/SUMIF('nres bld data'!$B$3:$B$38,$B60,'nres bld data'!$D$3:$D$38)</f>
        <v>0</v>
      </c>
      <c r="U60" s="21">
        <f>SUMIFS('Projections by County'!$D$10:$D$36,'Projections by County'!$A$10:$A$36,$B60,'Projections by County'!$C$10:$C$36,"Electricity (kWh)",'Projections by County'!$B$10:$B$36,"Commercial")*BTU_per_kWh/1000000</f>
        <v>1788587.91761964</v>
      </c>
      <c r="V60" s="21">
        <f>SUMIFS('Projections by County'!$D$10:$D$36,'Projections by County'!$A$10:$A$36,$B60,'Projections by County'!$C$10:$C$36,"Natural Gas",'Projections by County'!$B$10:$B$36,"Commercial")</f>
        <v>2153065.0279999999</v>
      </c>
      <c r="W60" s="116"/>
      <c r="X60" s="116">
        <f>IFERROR(SUMIF('nres bld data'!$V$3:$V$254,"="&amp;$B60&amp;$C60&amp;$D60,'nres bld data'!P$3:P$254)/SUMIF('nres bld data'!$V$3:$V$254,"="&amp;$B60&amp;$C60&amp;$D60,'nres bld data'!$T$3:$T$254),0)</f>
        <v>1</v>
      </c>
      <c r="Y60" s="116">
        <f>IFERROR(SUMIF('nres bld data'!$V$3:$V$254,"="&amp;$B60&amp;$C60&amp;$D60,'nres bld data'!Q$3:Q$254)/SUMIF('nres bld data'!$V$3:$V$254,"="&amp;$B60&amp;$C60&amp;$D60,'nres bld data'!$T$3:$T$254),0)</f>
        <v>0</v>
      </c>
      <c r="AA60" s="116">
        <f ca="1">IFERROR(SUMIF('nres bld data'!$V$3:$V$254,"="&amp;$B60&amp;$C60&amp;$D60,'nres bld data'!P$3:P$254)/SUMIF('nres bld data'!$W$256:$W$297,"="&amp;$B60&amp;$C60,'nres bld data'!P$256:P$297),0)</f>
        <v>0.11952375132293827</v>
      </c>
      <c r="AB60" s="116">
        <f ca="1">IFERROR(SUMIF('nres bld data'!$V$3:$V$254,"="&amp;$B60&amp;$C60&amp;$D60,'nres bld data'!Q$3:Q$254)/SUMIF('nres bld data'!$W$256:$W$297,"="&amp;$B60&amp;$C60,'nres bld data'!Q$256:Q$297),0)</f>
        <v>0</v>
      </c>
    </row>
    <row r="61" spans="2:28">
      <c r="B61" s="20" t="s">
        <v>5</v>
      </c>
      <c r="C61" s="20" t="s">
        <v>462</v>
      </c>
      <c r="D61" s="20" t="s">
        <v>443</v>
      </c>
      <c r="E61" s="55">
        <f t="shared" ca="1" si="0"/>
        <v>0</v>
      </c>
      <c r="F61" s="55">
        <f t="shared" ca="1" si="1"/>
        <v>0</v>
      </c>
      <c r="G61" s="21">
        <f>IFERROR(SUMIF('nres bld data'!$A$3:$A$38,B61&amp;C61,'nres bld data'!$D$3:$D$38),0)</f>
        <v>0</v>
      </c>
      <c r="H61" s="21">
        <f t="shared" ref="H61:I61" ca="1" si="65">$T61*U61</f>
        <v>0</v>
      </c>
      <c r="I61" s="21">
        <f t="shared" ca="1" si="65"/>
        <v>0</v>
      </c>
      <c r="J61" s="21"/>
      <c r="K61" s="21"/>
      <c r="S61" s="115"/>
      <c r="T61" s="22">
        <f ca="1">G61/SUMIF('nres bld data'!$B$3:$B$38,$B61,'nres bld data'!$D$3:$D$38)</f>
        <v>0</v>
      </c>
      <c r="U61" s="21">
        <f>SUMIFS('Projections by County'!$D$10:$D$36,'Projections by County'!$A$10:$A$36,$B61,'Projections by County'!$C$10:$C$36,"Electricity (kWh)",'Projections by County'!$B$10:$B$36,"Commercial")*BTU_per_kWh/1000000</f>
        <v>1788587.91761964</v>
      </c>
      <c r="V61" s="21">
        <f>SUMIFS('Projections by County'!$D$10:$D$36,'Projections by County'!$A$10:$A$36,$B61,'Projections by County'!$C$10:$C$36,"Natural Gas",'Projections by County'!$B$10:$B$36,"Commercial")</f>
        <v>2153065.0279999999</v>
      </c>
      <c r="W61" s="116"/>
      <c r="X61" s="116">
        <f>IFERROR(SUMIF('nres bld data'!$V$3:$V$254,"="&amp;$B61&amp;$C61&amp;$D61,'nres bld data'!P$3:P$254)/SUMIF('nres bld data'!$V$3:$V$254,"="&amp;$B61&amp;$C61&amp;$D61,'nres bld data'!$T$3:$T$254),0)</f>
        <v>0.21342681145499554</v>
      </c>
      <c r="Y61" s="116">
        <f>IFERROR(SUMIF('nres bld data'!$V$3:$V$254,"="&amp;$B61&amp;$C61&amp;$D61,'nres bld data'!Q$3:Q$254)/SUMIF('nres bld data'!$V$3:$V$254,"="&amp;$B61&amp;$C61&amp;$D61,'nres bld data'!$T$3:$T$254),0)</f>
        <v>0.60440129719160862</v>
      </c>
      <c r="AA61" s="116">
        <f ca="1">IFERROR(SUMIF('nres bld data'!$V$3:$V$254,"="&amp;$B61&amp;$C61&amp;$D61,'nres bld data'!P$3:P$254)/SUMIF('nres bld data'!$W$256:$W$297,"="&amp;$B61&amp;$C61,'nres bld data'!P$256:P$297),0)</f>
        <v>5.869193818004434E-2</v>
      </c>
      <c r="AB61" s="116">
        <f ca="1">IFERROR(SUMIF('nres bld data'!$V$3:$V$254,"="&amp;$B61&amp;$C61&amp;$D61,'nres bld data'!Q$3:Q$254)/SUMIF('nres bld data'!$W$256:$W$297,"="&amp;$B61&amp;$C61,'nres bld data'!Q$256:Q$297),0)</f>
        <v>0.28330656124054687</v>
      </c>
    </row>
    <row r="62" spans="2:28">
      <c r="B62" s="20" t="s">
        <v>5</v>
      </c>
      <c r="C62" s="20" t="s">
        <v>462</v>
      </c>
      <c r="D62" s="20" t="s">
        <v>445</v>
      </c>
      <c r="E62" s="55">
        <f t="shared" ca="1" si="0"/>
        <v>0</v>
      </c>
      <c r="F62" s="55">
        <f t="shared" ca="1" si="1"/>
        <v>0</v>
      </c>
      <c r="G62" s="21">
        <f>IFERROR(SUMIF('nres bld data'!$A$3:$A$38,B62&amp;C62,'nres bld data'!$D$3:$D$38),0)</f>
        <v>0</v>
      </c>
      <c r="H62" s="21">
        <f t="shared" ref="H62:I62" ca="1" si="66">$T62*U62</f>
        <v>0</v>
      </c>
      <c r="I62" s="21">
        <f t="shared" ca="1" si="66"/>
        <v>0</v>
      </c>
      <c r="J62" s="21"/>
      <c r="K62" s="21"/>
      <c r="S62" s="115"/>
      <c r="T62" s="22">
        <f ca="1">G62/SUMIF('nres bld data'!$B$3:$B$38,$B62,'nres bld data'!$D$3:$D$38)</f>
        <v>0</v>
      </c>
      <c r="U62" s="21">
        <f>SUMIFS('Projections by County'!$D$10:$D$36,'Projections by County'!$A$10:$A$36,$B62,'Projections by County'!$C$10:$C$36,"Electricity (kWh)",'Projections by County'!$B$10:$B$36,"Commercial")*BTU_per_kWh/1000000</f>
        <v>1788587.91761964</v>
      </c>
      <c r="V62" s="21">
        <f>SUMIFS('Projections by County'!$D$10:$D$36,'Projections by County'!$A$10:$A$36,$B62,'Projections by County'!$C$10:$C$36,"Natural Gas",'Projections by County'!$B$10:$B$36,"Commercial")</f>
        <v>2153065.0279999999</v>
      </c>
      <c r="W62" s="116"/>
      <c r="X62" s="116">
        <f>IFERROR(SUMIF('nres bld data'!$V$3:$V$254,"="&amp;$B62&amp;$C62&amp;$D62,'nres bld data'!P$3:P$254)/SUMIF('nres bld data'!$V$3:$V$254,"="&amp;$B62&amp;$C62&amp;$D62,'nres bld data'!$T$3:$T$254),0)</f>
        <v>0.55221362962794507</v>
      </c>
      <c r="Y62" s="116">
        <f>IFERROR(SUMIF('nres bld data'!$V$3:$V$254,"="&amp;$B62&amp;$C62&amp;$D62,'nres bld data'!Q$3:Q$254)/SUMIF('nres bld data'!$V$3:$V$254,"="&amp;$B62&amp;$C62&amp;$D62,'nres bld data'!$T$3:$T$254),0)</f>
        <v>0.3964772789305569</v>
      </c>
      <c r="AA62" s="116">
        <f ca="1">IFERROR(SUMIF('nres bld data'!$V$3:$V$254,"="&amp;$B62&amp;$C62&amp;$D62,'nres bld data'!P$3:P$254)/SUMIF('nres bld data'!$W$256:$W$297,"="&amp;$B62&amp;$C62,'nres bld data'!P$256:P$297),0)</f>
        <v>0.12610440201583573</v>
      </c>
      <c r="AB62" s="116">
        <f ca="1">IFERROR(SUMIF('nres bld data'!$V$3:$V$254,"="&amp;$B62&amp;$C62&amp;$D62,'nres bld data'!Q$3:Q$254)/SUMIF('nres bld data'!$W$256:$W$297,"="&amp;$B62&amp;$C62,'nres bld data'!Q$256:Q$297),0)</f>
        <v>0.15432745673198289</v>
      </c>
    </row>
    <row r="63" spans="2:28">
      <c r="B63" s="20" t="s">
        <v>5</v>
      </c>
      <c r="C63" s="20" t="s">
        <v>463</v>
      </c>
      <c r="D63" s="20" t="s">
        <v>429</v>
      </c>
      <c r="E63" s="55">
        <f t="shared" ca="1" si="0"/>
        <v>0</v>
      </c>
      <c r="F63" s="55">
        <f t="shared" ca="1" si="1"/>
        <v>0</v>
      </c>
      <c r="G63" s="21">
        <f>IFERROR(SUMIF('nres bld data'!$A$3:$A$38,B63&amp;C63,'nres bld data'!$D$3:$D$38),0)</f>
        <v>0</v>
      </c>
      <c r="H63" s="21">
        <f t="shared" ref="H63:I63" ca="1" si="67">$T63*U63</f>
        <v>0</v>
      </c>
      <c r="I63" s="21">
        <f t="shared" ca="1" si="67"/>
        <v>0</v>
      </c>
      <c r="J63" s="21"/>
      <c r="K63" s="21"/>
      <c r="S63" s="115"/>
      <c r="T63" s="22">
        <f ca="1">G63/SUMIF('nres bld data'!$B$3:$B$38,$B63,'nres bld data'!$D$3:$D$38)</f>
        <v>0</v>
      </c>
      <c r="U63" s="21">
        <f>SUMIFS('Projections by County'!$D$10:$D$36,'Projections by County'!$A$10:$A$36,$B63,'Projections by County'!$C$10:$C$36,"Electricity (kWh)",'Projections by County'!$B$10:$B$36,"Commercial")*BTU_per_kWh/1000000</f>
        <v>1788587.91761964</v>
      </c>
      <c r="V63" s="21">
        <f>SUMIFS('Projections by County'!$D$10:$D$36,'Projections by County'!$A$10:$A$36,$B63,'Projections by County'!$C$10:$C$36,"Natural Gas",'Projections by County'!$B$10:$B$36,"Commercial")</f>
        <v>2153065.0279999999</v>
      </c>
      <c r="W63" s="116"/>
      <c r="X63" s="116">
        <f>IFERROR(SUMIF('nres bld data'!$V$3:$V$254,"="&amp;$B63&amp;$C63&amp;$D63,'nres bld data'!P$3:P$254)/SUMIF('nres bld data'!$V$3:$V$254,"="&amp;$B63&amp;$C63&amp;$D63,'nres bld data'!$T$3:$T$254),0)</f>
        <v>0.58783916967474303</v>
      </c>
      <c r="Y63" s="116">
        <f>IFERROR(SUMIF('nres bld data'!$V$3:$V$254,"="&amp;$B63&amp;$C63&amp;$D63,'nres bld data'!Q$3:Q$254)/SUMIF('nres bld data'!$V$3:$V$254,"="&amp;$B63&amp;$C63&amp;$D63,'nres bld data'!$T$3:$T$254),0)</f>
        <v>0.41216083032525702</v>
      </c>
      <c r="AA63" s="116">
        <f ca="1">IFERROR(SUMIF('nres bld data'!$V$3:$V$254,"="&amp;$B63&amp;$C63&amp;$D63,'nres bld data'!P$3:P$254)/SUMIF('nres bld data'!$W$256:$W$297,"="&amp;$B63&amp;$C63,'nres bld data'!P$256:P$297),0)</f>
        <v>9.1329535526099029E-2</v>
      </c>
      <c r="AB63" s="116">
        <f ca="1">IFERROR(SUMIF('nres bld data'!$V$3:$V$254,"="&amp;$B63&amp;$C63&amp;$D63,'nres bld data'!Q$3:Q$254)/SUMIF('nres bld data'!$W$256:$W$297,"="&amp;$B63&amp;$C63,'nres bld data'!Q$256:Q$297),0)</f>
        <v>7.4593738799740406E-2</v>
      </c>
    </row>
    <row r="64" spans="2:28">
      <c r="B64" s="20" t="s">
        <v>5</v>
      </c>
      <c r="C64" s="20" t="s">
        <v>463</v>
      </c>
      <c r="D64" s="20" t="s">
        <v>433</v>
      </c>
      <c r="E64" s="55">
        <f t="shared" ca="1" si="0"/>
        <v>0</v>
      </c>
      <c r="F64" s="55">
        <f t="shared" ca="1" si="1"/>
        <v>0</v>
      </c>
      <c r="G64" s="21">
        <f>IFERROR(SUMIF('nres bld data'!$A$3:$A$38,B64&amp;C64,'nres bld data'!$D$3:$D$38),0)</f>
        <v>0</v>
      </c>
      <c r="H64" s="21">
        <f t="shared" ref="H64:I64" ca="1" si="68">$T64*U64</f>
        <v>0</v>
      </c>
      <c r="I64" s="21">
        <f t="shared" ca="1" si="68"/>
        <v>0</v>
      </c>
      <c r="J64" s="21"/>
      <c r="K64" s="21"/>
      <c r="S64" s="115"/>
      <c r="T64" s="22">
        <f ca="1">G64/SUMIF('nres bld data'!$B$3:$B$38,$B64,'nres bld data'!$D$3:$D$38)</f>
        <v>0</v>
      </c>
      <c r="U64" s="21">
        <f>SUMIFS('Projections by County'!$D$10:$D$36,'Projections by County'!$A$10:$A$36,$B64,'Projections by County'!$C$10:$C$36,"Electricity (kWh)",'Projections by County'!$B$10:$B$36,"Commercial")*BTU_per_kWh/1000000</f>
        <v>1788587.91761964</v>
      </c>
      <c r="V64" s="21">
        <f>SUMIFS('Projections by County'!$D$10:$D$36,'Projections by County'!$A$10:$A$36,$B64,'Projections by County'!$C$10:$C$36,"Natural Gas",'Projections by County'!$B$10:$B$36,"Commercial")</f>
        <v>2153065.0279999999</v>
      </c>
      <c r="W64" s="116"/>
      <c r="X64" s="116">
        <f>IFERROR(SUMIF('nres bld data'!$V$3:$V$254,"="&amp;$B64&amp;$C64&amp;$D64,'nres bld data'!P$3:P$254)/SUMIF('nres bld data'!$V$3:$V$254,"="&amp;$B64&amp;$C64&amp;$D64,'nres bld data'!$T$3:$T$254),0)</f>
        <v>1</v>
      </c>
      <c r="Y64" s="116">
        <f>IFERROR(SUMIF('nres bld data'!$V$3:$V$254,"="&amp;$B64&amp;$C64&amp;$D64,'nres bld data'!Q$3:Q$254)/SUMIF('nres bld data'!$V$3:$V$254,"="&amp;$B64&amp;$C64&amp;$D64,'nres bld data'!$T$3:$T$254),0)</f>
        <v>0</v>
      </c>
      <c r="AA64" s="116">
        <f ca="1">IFERROR(SUMIF('nres bld data'!$V$3:$V$254,"="&amp;$B64&amp;$C64&amp;$D64,'nres bld data'!P$3:P$254)/SUMIF('nres bld data'!$W$256:$W$297,"="&amp;$B64&amp;$C64,'nres bld data'!P$256:P$297),0)</f>
        <v>0.31325000216261323</v>
      </c>
      <c r="AB64" s="116">
        <f ca="1">IFERROR(SUMIF('nres bld data'!$V$3:$V$254,"="&amp;$B64&amp;$C64&amp;$D64,'nres bld data'!Q$3:Q$254)/SUMIF('nres bld data'!$W$256:$W$297,"="&amp;$B64&amp;$C64,'nres bld data'!Q$256:Q$297),0)</f>
        <v>0</v>
      </c>
    </row>
    <row r="65" spans="2:28">
      <c r="B65" s="20" t="s">
        <v>5</v>
      </c>
      <c r="C65" s="20" t="s">
        <v>463</v>
      </c>
      <c r="D65" s="20" t="s">
        <v>437</v>
      </c>
      <c r="E65" s="55">
        <f t="shared" ca="1" si="0"/>
        <v>0</v>
      </c>
      <c r="F65" s="55">
        <f t="shared" ca="1" si="1"/>
        <v>0</v>
      </c>
      <c r="G65" s="21">
        <f>IFERROR(SUMIF('nres bld data'!$A$3:$A$38,B65&amp;C65,'nres bld data'!$D$3:$D$38),0)</f>
        <v>0</v>
      </c>
      <c r="H65" s="21">
        <f t="shared" ref="H65:I65" ca="1" si="69">$T65*U65</f>
        <v>0</v>
      </c>
      <c r="I65" s="21">
        <f t="shared" ca="1" si="69"/>
        <v>0</v>
      </c>
      <c r="J65" s="21"/>
      <c r="K65" s="21"/>
      <c r="S65" s="115"/>
      <c r="T65" s="22">
        <f ca="1">G65/SUMIF('nres bld data'!$B$3:$B$38,$B65,'nres bld data'!$D$3:$D$38)</f>
        <v>0</v>
      </c>
      <c r="U65" s="21">
        <f>SUMIFS('Projections by County'!$D$10:$D$36,'Projections by County'!$A$10:$A$36,$B65,'Projections by County'!$C$10:$C$36,"Electricity (kWh)",'Projections by County'!$B$10:$B$36,"Commercial")*BTU_per_kWh/1000000</f>
        <v>1788587.91761964</v>
      </c>
      <c r="V65" s="21">
        <f>SUMIFS('Projections by County'!$D$10:$D$36,'Projections by County'!$A$10:$A$36,$B65,'Projections by County'!$C$10:$C$36,"Natural Gas",'Projections by County'!$B$10:$B$36,"Commercial")</f>
        <v>2153065.0279999999</v>
      </c>
      <c r="W65" s="116"/>
      <c r="X65" s="116">
        <f>IFERROR(SUMIF('nres bld data'!$V$3:$V$254,"="&amp;$B65&amp;$C65&amp;$D65,'nres bld data'!P$3:P$254)/SUMIF('nres bld data'!$V$3:$V$254,"="&amp;$B65&amp;$C65&amp;$D65,'nres bld data'!$T$3:$T$254),0)</f>
        <v>1</v>
      </c>
      <c r="Y65" s="116">
        <f>IFERROR(SUMIF('nres bld data'!$V$3:$V$254,"="&amp;$B65&amp;$C65&amp;$D65,'nres bld data'!Q$3:Q$254)/SUMIF('nres bld data'!$V$3:$V$254,"="&amp;$B65&amp;$C65&amp;$D65,'nres bld data'!$T$3:$T$254),0)</f>
        <v>0</v>
      </c>
      <c r="AA65" s="116">
        <f ca="1">IFERROR(SUMIF('nres bld data'!$V$3:$V$254,"="&amp;$B65&amp;$C65&amp;$D65,'nres bld data'!P$3:P$254)/SUMIF('nres bld data'!$W$256:$W$297,"="&amp;$B65&amp;$C65,'nres bld data'!P$256:P$297),0)</f>
        <v>0.26417858845841713</v>
      </c>
      <c r="AB65" s="116">
        <f ca="1">IFERROR(SUMIF('nres bld data'!$V$3:$V$254,"="&amp;$B65&amp;$C65&amp;$D65,'nres bld data'!Q$3:Q$254)/SUMIF('nres bld data'!$W$256:$W$297,"="&amp;$B65&amp;$C65,'nres bld data'!Q$256:Q$297),0)</f>
        <v>0</v>
      </c>
    </row>
    <row r="66" spans="2:28">
      <c r="B66" s="20" t="s">
        <v>5</v>
      </c>
      <c r="C66" s="20" t="s">
        <v>463</v>
      </c>
      <c r="D66" s="20" t="s">
        <v>440</v>
      </c>
      <c r="E66" s="55">
        <f t="shared" ca="1" si="0"/>
        <v>0</v>
      </c>
      <c r="F66" s="55">
        <f t="shared" ca="1" si="1"/>
        <v>0</v>
      </c>
      <c r="G66" s="21">
        <f>IFERROR(SUMIF('nres bld data'!$A$3:$A$38,B66&amp;C66,'nres bld data'!$D$3:$D$38),0)</f>
        <v>0</v>
      </c>
      <c r="H66" s="21">
        <f t="shared" ref="H66:I66" ca="1" si="70">$T66*U66</f>
        <v>0</v>
      </c>
      <c r="I66" s="21">
        <f t="shared" ca="1" si="70"/>
        <v>0</v>
      </c>
      <c r="J66" s="21"/>
      <c r="K66" s="21"/>
      <c r="S66" s="115"/>
      <c r="T66" s="22">
        <f ca="1">G66/SUMIF('nres bld data'!$B$3:$B$38,$B66,'nres bld data'!$D$3:$D$38)</f>
        <v>0</v>
      </c>
      <c r="U66" s="21">
        <f>SUMIFS('Projections by County'!$D$10:$D$36,'Projections by County'!$A$10:$A$36,$B66,'Projections by County'!$C$10:$C$36,"Electricity (kWh)",'Projections by County'!$B$10:$B$36,"Commercial")*BTU_per_kWh/1000000</f>
        <v>1788587.91761964</v>
      </c>
      <c r="V66" s="21">
        <f>SUMIFS('Projections by County'!$D$10:$D$36,'Projections by County'!$A$10:$A$36,$B66,'Projections by County'!$C$10:$C$36,"Natural Gas",'Projections by County'!$B$10:$B$36,"Commercial")</f>
        <v>2153065.0279999999</v>
      </c>
      <c r="W66" s="116"/>
      <c r="X66" s="116">
        <f>IFERROR(SUMIF('nres bld data'!$V$3:$V$254,"="&amp;$B66&amp;$C66&amp;$D66,'nres bld data'!P$3:P$254)/SUMIF('nres bld data'!$V$3:$V$254,"="&amp;$B66&amp;$C66&amp;$D66,'nres bld data'!$T$3:$T$254),0)</f>
        <v>1</v>
      </c>
      <c r="Y66" s="116">
        <f>IFERROR(SUMIF('nres bld data'!$V$3:$V$254,"="&amp;$B66&amp;$C66&amp;$D66,'nres bld data'!Q$3:Q$254)/SUMIF('nres bld data'!$V$3:$V$254,"="&amp;$B66&amp;$C66&amp;$D66,'nres bld data'!$T$3:$T$254),0)</f>
        <v>0</v>
      </c>
      <c r="AA66" s="116">
        <f ca="1">IFERROR(SUMIF('nres bld data'!$V$3:$V$254,"="&amp;$B66&amp;$C66&amp;$D66,'nres bld data'!P$3:P$254)/SUMIF('nres bld data'!$W$256:$W$297,"="&amp;$B66&amp;$C66,'nres bld data'!P$256:P$297),0)</f>
        <v>0.26106004692918622</v>
      </c>
      <c r="AB66" s="116">
        <f ca="1">IFERROR(SUMIF('nres bld data'!$V$3:$V$254,"="&amp;$B66&amp;$C66&amp;$D66,'nres bld data'!Q$3:Q$254)/SUMIF('nres bld data'!$W$256:$W$297,"="&amp;$B66&amp;$C66,'nres bld data'!Q$256:Q$297),0)</f>
        <v>0</v>
      </c>
    </row>
    <row r="67" spans="2:28">
      <c r="B67" s="20" t="s">
        <v>5</v>
      </c>
      <c r="C67" s="20" t="s">
        <v>463</v>
      </c>
      <c r="D67" s="20" t="s">
        <v>443</v>
      </c>
      <c r="E67" s="55">
        <f t="shared" ca="1" si="0"/>
        <v>0</v>
      </c>
      <c r="F67" s="55">
        <f t="shared" ca="1" si="1"/>
        <v>0</v>
      </c>
      <c r="G67" s="21">
        <f>IFERROR(SUMIF('nres bld data'!$A$3:$A$38,B67&amp;C67,'nres bld data'!$D$3:$D$38),0)</f>
        <v>0</v>
      </c>
      <c r="H67" s="21">
        <f t="shared" ref="H67:I67" ca="1" si="71">$T67*U67</f>
        <v>0</v>
      </c>
      <c r="I67" s="21">
        <f t="shared" ca="1" si="71"/>
        <v>0</v>
      </c>
      <c r="J67" s="21"/>
      <c r="K67" s="21"/>
      <c r="S67" s="115"/>
      <c r="T67" s="22">
        <f ca="1">G67/SUMIF('nres bld data'!$B$3:$B$38,$B67,'nres bld data'!$D$3:$D$38)</f>
        <v>0</v>
      </c>
      <c r="U67" s="21">
        <f>SUMIFS('Projections by County'!$D$10:$D$36,'Projections by County'!$A$10:$A$36,$B67,'Projections by County'!$C$10:$C$36,"Electricity (kWh)",'Projections by County'!$B$10:$B$36,"Commercial")*BTU_per_kWh/1000000</f>
        <v>1788587.91761964</v>
      </c>
      <c r="V67" s="21">
        <f>SUMIFS('Projections by County'!$D$10:$D$36,'Projections by County'!$A$10:$A$36,$B67,'Projections by County'!$C$10:$C$36,"Natural Gas",'Projections by County'!$B$10:$B$36,"Commercial")</f>
        <v>2153065.0279999999</v>
      </c>
      <c r="W67" s="116"/>
      <c r="X67" s="116">
        <f>IFERROR(SUMIF('nres bld data'!$V$3:$V$254,"="&amp;$B67&amp;$C67&amp;$D67,'nres bld data'!P$3:P$254)/SUMIF('nres bld data'!$V$3:$V$254,"="&amp;$B67&amp;$C67&amp;$D67,'nres bld data'!$T$3:$T$254),0)</f>
        <v>0</v>
      </c>
      <c r="Y67" s="116">
        <f>IFERROR(SUMIF('nres bld data'!$V$3:$V$254,"="&amp;$B67&amp;$C67&amp;$D67,'nres bld data'!Q$3:Q$254)/SUMIF('nres bld data'!$V$3:$V$254,"="&amp;$B67&amp;$C67&amp;$D67,'nres bld data'!$T$3:$T$254),0)</f>
        <v>1</v>
      </c>
      <c r="AA67" s="116">
        <f ca="1">IFERROR(SUMIF('nres bld data'!$V$3:$V$254,"="&amp;$B67&amp;$C67&amp;$D67,'nres bld data'!P$3:P$254)/SUMIF('nres bld data'!$W$256:$W$297,"="&amp;$B67&amp;$C67,'nres bld data'!P$256:P$297),0)</f>
        <v>0</v>
      </c>
      <c r="AB67" s="116">
        <f ca="1">IFERROR(SUMIF('nres bld data'!$V$3:$V$254,"="&amp;$B67&amp;$C67&amp;$D67,'nres bld data'!Q$3:Q$254)/SUMIF('nres bld data'!$W$256:$W$297,"="&amp;$B67&amp;$C67,'nres bld data'!Q$256:Q$297),0)</f>
        <v>0.8710038585631622</v>
      </c>
    </row>
    <row r="68" spans="2:28">
      <c r="B68" s="20" t="s">
        <v>5</v>
      </c>
      <c r="C68" s="20" t="s">
        <v>463</v>
      </c>
      <c r="D68" s="20" t="s">
        <v>445</v>
      </c>
      <c r="E68" s="55">
        <f t="shared" ca="1" si="0"/>
        <v>0</v>
      </c>
      <c r="F68" s="55">
        <f t="shared" ca="1" si="1"/>
        <v>0</v>
      </c>
      <c r="G68" s="21">
        <f>IFERROR(SUMIF('nres bld data'!$A$3:$A$38,B68&amp;C68,'nres bld data'!$D$3:$D$38),0)</f>
        <v>0</v>
      </c>
      <c r="H68" s="21">
        <f t="shared" ref="H68:I68" ca="1" si="72">$T68*U68</f>
        <v>0</v>
      </c>
      <c r="I68" s="21">
        <f t="shared" ca="1" si="72"/>
        <v>0</v>
      </c>
      <c r="J68" s="21"/>
      <c r="K68" s="21"/>
      <c r="S68" s="115"/>
      <c r="T68" s="22">
        <f ca="1">G68/SUMIF('nres bld data'!$B$3:$B$38,$B68,'nres bld data'!$D$3:$D$38)</f>
        <v>0</v>
      </c>
      <c r="U68" s="21">
        <f>SUMIFS('Projections by County'!$D$10:$D$36,'Projections by County'!$A$10:$A$36,$B68,'Projections by County'!$C$10:$C$36,"Electricity (kWh)",'Projections by County'!$B$10:$B$36,"Commercial")*BTU_per_kWh/1000000</f>
        <v>1788587.91761964</v>
      </c>
      <c r="V68" s="21">
        <f>SUMIFS('Projections by County'!$D$10:$D$36,'Projections by County'!$A$10:$A$36,$B68,'Projections by County'!$C$10:$C$36,"Natural Gas",'Projections by County'!$B$10:$B$36,"Commercial")</f>
        <v>2153065.0279999999</v>
      </c>
      <c r="W68" s="116"/>
      <c r="X68" s="116">
        <f>IFERROR(SUMIF('nres bld data'!$V$3:$V$254,"="&amp;$B68&amp;$C68&amp;$D68,'nres bld data'!P$3:P$254)/SUMIF('nres bld data'!$V$3:$V$254,"="&amp;$B68&amp;$C68&amp;$D68,'nres bld data'!$T$3:$T$254),0)</f>
        <v>0.60044105429029893</v>
      </c>
      <c r="Y68" s="116">
        <f>IFERROR(SUMIF('nres bld data'!$V$3:$V$254,"="&amp;$B68&amp;$C68&amp;$D68,'nres bld data'!Q$3:Q$254)/SUMIF('nres bld data'!$V$3:$V$254,"="&amp;$B68&amp;$C68&amp;$D68,'nres bld data'!$T$3:$T$254),0)</f>
        <v>0.39955894570970119</v>
      </c>
      <c r="AA68" s="116">
        <f ca="1">IFERROR(SUMIF('nres bld data'!$V$3:$V$254,"="&amp;$B68&amp;$C68&amp;$D68,'nres bld data'!P$3:P$254)/SUMIF('nres bld data'!$W$256:$W$297,"="&amp;$B68&amp;$C68,'nres bld data'!P$256:P$297),0)</f>
        <v>7.0181826923684479E-2</v>
      </c>
      <c r="AB68" s="116">
        <f ca="1">IFERROR(SUMIF('nres bld data'!$V$3:$V$254,"="&amp;$B68&amp;$C68&amp;$D68,'nres bld data'!Q$3:Q$254)/SUMIF('nres bld data'!$W$256:$W$297,"="&amp;$B68&amp;$C68,'nres bld data'!Q$256:Q$297),0)</f>
        <v>5.4402402637097398E-2</v>
      </c>
    </row>
    <row r="69" spans="2:28">
      <c r="B69" s="20" t="s">
        <v>5</v>
      </c>
      <c r="C69" s="20" t="s">
        <v>438</v>
      </c>
      <c r="D69" s="20" t="s">
        <v>429</v>
      </c>
      <c r="E69" s="55">
        <f t="shared" ca="1" si="0"/>
        <v>1.210484307607693E-2</v>
      </c>
      <c r="F69" s="55">
        <f t="shared" ca="1" si="1"/>
        <v>1.6463199229382011E-2</v>
      </c>
      <c r="G69" s="21">
        <f ca="1">IFERROR(SUMIF('nres bld data'!$A$3:$A$38,B69&amp;C69,'nres bld data'!$D$3:$D$38),0)</f>
        <v>1622694</v>
      </c>
      <c r="H69" s="21">
        <f t="shared" ref="H69:I69" ca="1" si="73">$T69*U69</f>
        <v>54506.762103734756</v>
      </c>
      <c r="I69" s="21">
        <f t="shared" ca="1" si="73"/>
        <v>65614.109387058925</v>
      </c>
      <c r="J69" s="21"/>
      <c r="K69" s="21"/>
      <c r="S69" s="115"/>
      <c r="T69" s="22">
        <f ca="1">G69/SUMIF('nres bld data'!$B$3:$B$38,$B69,'nres bld data'!$D$3:$D$38)</f>
        <v>3.0474745785085935E-2</v>
      </c>
      <c r="U69" s="21">
        <f>SUMIFS('Projections by County'!$D$10:$D$36,'Projections by County'!$A$10:$A$36,$B69,'Projections by County'!$C$10:$C$36,"Electricity (kWh)",'Projections by County'!$B$10:$B$36,"Commercial")*BTU_per_kWh/1000000</f>
        <v>1788587.91761964</v>
      </c>
      <c r="V69" s="21">
        <f>SUMIFS('Projections by County'!$D$10:$D$36,'Projections by County'!$A$10:$A$36,$B69,'Projections by County'!$C$10:$C$36,"Natural Gas",'Projections by County'!$B$10:$B$36,"Commercial")</f>
        <v>2153065.0279999999</v>
      </c>
      <c r="W69" s="116"/>
      <c r="X69" s="116">
        <f>IFERROR(SUMIF('nres bld data'!$V$3:$V$254,"="&amp;$B69&amp;$C69&amp;$D69,'nres bld data'!P$3:P$254)/SUMIF('nres bld data'!$V$3:$V$254,"="&amp;$B69&amp;$C69&amp;$D69,'nres bld data'!$T$3:$T$254),0)</f>
        <v>0.72279509035319289</v>
      </c>
      <c r="Y69" s="116">
        <f>IFERROR(SUMIF('nres bld data'!$V$3:$V$254,"="&amp;$B69&amp;$C69&amp;$D69,'nres bld data'!Q$3:Q$254)/SUMIF('nres bld data'!$V$3:$V$254,"="&amp;$B69&amp;$C69&amp;$D69,'nres bld data'!$T$3:$T$254),0)</f>
        <v>0.27720490964680722</v>
      </c>
      <c r="AA69" s="116">
        <f ca="1">IFERROR(SUMIF('nres bld data'!$V$3:$V$254,"="&amp;$B69&amp;$C69&amp;$D69,'nres bld data'!P$3:P$254)/SUMIF('nres bld data'!$W$256:$W$297,"="&amp;$B69&amp;$C69,'nres bld data'!P$256:P$297),0)</f>
        <v>0.36036732824285106</v>
      </c>
      <c r="AB69" s="116">
        <f ca="1">IFERROR(SUMIF('nres bld data'!$V$3:$V$254,"="&amp;$B69&amp;$C69&amp;$D69,'nres bld data'!Q$3:Q$254)/SUMIF('nres bld data'!$W$256:$W$297,"="&amp;$B69&amp;$C69,'nres bld data'!Q$256:Q$297),0)</f>
        <v>0.4071492375630989</v>
      </c>
    </row>
    <row r="70" spans="2:28">
      <c r="B70" s="20" t="s">
        <v>5</v>
      </c>
      <c r="C70" s="20" t="s">
        <v>438</v>
      </c>
      <c r="D70" s="20" t="s">
        <v>433</v>
      </c>
      <c r="E70" s="55">
        <f t="shared" ca="1" si="0"/>
        <v>5.65431423454255E-3</v>
      </c>
      <c r="F70" s="55">
        <f t="shared" ca="1" si="1"/>
        <v>0</v>
      </c>
      <c r="G70" s="21">
        <f ca="1">IFERROR(SUMIF('nres bld data'!$A$3:$A$38,B70&amp;C70,'nres bld data'!$D$3:$D$38),0)</f>
        <v>1622694</v>
      </c>
      <c r="H70" s="21">
        <f t="shared" ref="H70:I70" ca="1" si="74">$T70*U70</f>
        <v>54506.762103734756</v>
      </c>
      <c r="I70" s="21">
        <f t="shared" ca="1" si="74"/>
        <v>65614.109387058925</v>
      </c>
      <c r="J70" s="21"/>
      <c r="K70" s="21"/>
      <c r="S70" s="115"/>
      <c r="T70" s="22">
        <f ca="1">G70/SUMIF('nres bld data'!$B$3:$B$38,$B70,'nres bld data'!$D$3:$D$38)</f>
        <v>3.0474745785085935E-2</v>
      </c>
      <c r="U70" s="21">
        <f>SUMIFS('Projections by County'!$D$10:$D$36,'Projections by County'!$A$10:$A$36,$B70,'Projections by County'!$C$10:$C$36,"Electricity (kWh)",'Projections by County'!$B$10:$B$36,"Commercial")*BTU_per_kWh/1000000</f>
        <v>1788587.91761964</v>
      </c>
      <c r="V70" s="21">
        <f>SUMIFS('Projections by County'!$D$10:$D$36,'Projections by County'!$A$10:$A$36,$B70,'Projections by County'!$C$10:$C$36,"Natural Gas",'Projections by County'!$B$10:$B$36,"Commercial")</f>
        <v>2153065.0279999999</v>
      </c>
      <c r="W70" s="116"/>
      <c r="X70" s="116">
        <f>IFERROR(SUMIF('nres bld data'!$V$3:$V$254,"="&amp;$B70&amp;$C70&amp;$D70,'nres bld data'!P$3:P$254)/SUMIF('nres bld data'!$V$3:$V$254,"="&amp;$B70&amp;$C70&amp;$D70,'nres bld data'!$T$3:$T$254),0)</f>
        <v>1</v>
      </c>
      <c r="Y70" s="116">
        <f>IFERROR(SUMIF('nres bld data'!$V$3:$V$254,"="&amp;$B70&amp;$C70&amp;$D70,'nres bld data'!Q$3:Q$254)/SUMIF('nres bld data'!$V$3:$V$254,"="&amp;$B70&amp;$C70&amp;$D70,'nres bld data'!$T$3:$T$254),0)</f>
        <v>0</v>
      </c>
      <c r="AA70" s="116">
        <f ca="1">IFERROR(SUMIF('nres bld data'!$V$3:$V$254,"="&amp;$B70&amp;$C70&amp;$D70,'nres bld data'!P$3:P$254)/SUMIF('nres bld data'!$W$256:$W$297,"="&amp;$B70&amp;$C70,'nres bld data'!P$256:P$297),0)</f>
        <v>0.16833180743785386</v>
      </c>
      <c r="AB70" s="116">
        <f ca="1">IFERROR(SUMIF('nres bld data'!$V$3:$V$254,"="&amp;$B70&amp;$C70&amp;$D70,'nres bld data'!Q$3:Q$254)/SUMIF('nres bld data'!$W$256:$W$297,"="&amp;$B70&amp;$C70,'nres bld data'!Q$256:Q$297),0)</f>
        <v>0</v>
      </c>
    </row>
    <row r="71" spans="2:28">
      <c r="B71" s="20" t="s">
        <v>5</v>
      </c>
      <c r="C71" s="20" t="s">
        <v>438</v>
      </c>
      <c r="D71" s="20" t="s">
        <v>437</v>
      </c>
      <c r="E71" s="55">
        <f t="shared" ca="1" si="0"/>
        <v>8.5464853186703795E-3</v>
      </c>
      <c r="F71" s="55">
        <f t="shared" ca="1" si="1"/>
        <v>0</v>
      </c>
      <c r="G71" s="21">
        <f ca="1">IFERROR(SUMIF('nres bld data'!$A$3:$A$38,B71&amp;C71,'nres bld data'!$D$3:$D$38),0)</f>
        <v>1622694</v>
      </c>
      <c r="H71" s="21">
        <f t="shared" ref="H71:I71" ca="1" si="75">$T71*U71</f>
        <v>54506.762103734756</v>
      </c>
      <c r="I71" s="21">
        <f t="shared" ca="1" si="75"/>
        <v>65614.109387058925</v>
      </c>
      <c r="J71" s="21"/>
      <c r="K71" s="21"/>
      <c r="S71" s="115"/>
      <c r="T71" s="22">
        <f ca="1">G71/SUMIF('nres bld data'!$B$3:$B$38,$B71,'nres bld data'!$D$3:$D$38)</f>
        <v>3.0474745785085935E-2</v>
      </c>
      <c r="U71" s="21">
        <f>SUMIFS('Projections by County'!$D$10:$D$36,'Projections by County'!$A$10:$A$36,$B71,'Projections by County'!$C$10:$C$36,"Electricity (kWh)",'Projections by County'!$B$10:$B$36,"Commercial")*BTU_per_kWh/1000000</f>
        <v>1788587.91761964</v>
      </c>
      <c r="V71" s="21">
        <f>SUMIFS('Projections by County'!$D$10:$D$36,'Projections by County'!$A$10:$A$36,$B71,'Projections by County'!$C$10:$C$36,"Natural Gas",'Projections by County'!$B$10:$B$36,"Commercial")</f>
        <v>2153065.0279999999</v>
      </c>
      <c r="W71" s="116"/>
      <c r="X71" s="116">
        <f>IFERROR(SUMIF('nres bld data'!$V$3:$V$254,"="&amp;$B71&amp;$C71&amp;$D71,'nres bld data'!P$3:P$254)/SUMIF('nres bld data'!$V$3:$V$254,"="&amp;$B71&amp;$C71&amp;$D71,'nres bld data'!$T$3:$T$254),0)</f>
        <v>1</v>
      </c>
      <c r="Y71" s="116">
        <f>IFERROR(SUMIF('nres bld data'!$V$3:$V$254,"="&amp;$B71&amp;$C71&amp;$D71,'nres bld data'!Q$3:Q$254)/SUMIF('nres bld data'!$V$3:$V$254,"="&amp;$B71&amp;$C71&amp;$D71,'nres bld data'!$T$3:$T$254),0)</f>
        <v>0</v>
      </c>
      <c r="AA71" s="116">
        <f ca="1">IFERROR(SUMIF('nres bld data'!$V$3:$V$254,"="&amp;$B71&amp;$C71&amp;$D71,'nres bld data'!P$3:P$254)/SUMIF('nres bld data'!$W$256:$W$297,"="&amp;$B71&amp;$C71,'nres bld data'!P$256:P$297),0)</f>
        <v>0.25443320998045976</v>
      </c>
      <c r="AB71" s="116">
        <f ca="1">IFERROR(SUMIF('nres bld data'!$V$3:$V$254,"="&amp;$B71&amp;$C71&amp;$D71,'nres bld data'!Q$3:Q$254)/SUMIF('nres bld data'!$W$256:$W$297,"="&amp;$B71&amp;$C71,'nres bld data'!Q$256:Q$297),0)</f>
        <v>0</v>
      </c>
    </row>
    <row r="72" spans="2:28">
      <c r="B72" s="20" t="s">
        <v>5</v>
      </c>
      <c r="C72" s="20" t="s">
        <v>438</v>
      </c>
      <c r="D72" s="20" t="s">
        <v>440</v>
      </c>
      <c r="E72" s="55">
        <f t="shared" ca="1" si="0"/>
        <v>2.675263764362478E-3</v>
      </c>
      <c r="F72" s="55">
        <f t="shared" ca="1" si="1"/>
        <v>0</v>
      </c>
      <c r="G72" s="21">
        <f ca="1">IFERROR(SUMIF('nres bld data'!$A$3:$A$38,B72&amp;C72,'nres bld data'!$D$3:$D$38),0)</f>
        <v>1622694</v>
      </c>
      <c r="H72" s="21">
        <f t="shared" ref="H72:I72" ca="1" si="76">$T72*U72</f>
        <v>54506.762103734756</v>
      </c>
      <c r="I72" s="21">
        <f t="shared" ca="1" si="76"/>
        <v>65614.109387058925</v>
      </c>
      <c r="J72" s="21"/>
      <c r="K72" s="21"/>
      <c r="S72" s="115"/>
      <c r="T72" s="22">
        <f ca="1">G72/SUMIF('nres bld data'!$B$3:$B$38,$B72,'nres bld data'!$D$3:$D$38)</f>
        <v>3.0474745785085935E-2</v>
      </c>
      <c r="U72" s="21">
        <f>SUMIFS('Projections by County'!$D$10:$D$36,'Projections by County'!$A$10:$A$36,$B72,'Projections by County'!$C$10:$C$36,"Electricity (kWh)",'Projections by County'!$B$10:$B$36,"Commercial")*BTU_per_kWh/1000000</f>
        <v>1788587.91761964</v>
      </c>
      <c r="V72" s="21">
        <f>SUMIFS('Projections by County'!$D$10:$D$36,'Projections by County'!$A$10:$A$36,$B72,'Projections by County'!$C$10:$C$36,"Natural Gas",'Projections by County'!$B$10:$B$36,"Commercial")</f>
        <v>2153065.0279999999</v>
      </c>
      <c r="W72" s="116"/>
      <c r="X72" s="116">
        <f>IFERROR(SUMIF('nres bld data'!$V$3:$V$254,"="&amp;$B72&amp;$C72&amp;$D72,'nres bld data'!P$3:P$254)/SUMIF('nres bld data'!$V$3:$V$254,"="&amp;$B72&amp;$C72&amp;$D72,'nres bld data'!$T$3:$T$254),0)</f>
        <v>1</v>
      </c>
      <c r="Y72" s="116">
        <f>IFERROR(SUMIF('nres bld data'!$V$3:$V$254,"="&amp;$B72&amp;$C72&amp;$D72,'nres bld data'!Q$3:Q$254)/SUMIF('nres bld data'!$V$3:$V$254,"="&amp;$B72&amp;$C72&amp;$D72,'nres bld data'!$T$3:$T$254),0)</f>
        <v>0</v>
      </c>
      <c r="AA72" s="116">
        <f ca="1">IFERROR(SUMIF('nres bld data'!$V$3:$V$254,"="&amp;$B72&amp;$C72&amp;$D72,'nres bld data'!P$3:P$254)/SUMIF('nres bld data'!$W$256:$W$297,"="&amp;$B72&amp;$C72,'nres bld data'!P$256:P$297),0)</f>
        <v>7.9643961433382524E-2</v>
      </c>
      <c r="AB72" s="116">
        <f ca="1">IFERROR(SUMIF('nres bld data'!$V$3:$V$254,"="&amp;$B72&amp;$C72&amp;$D72,'nres bld data'!Q$3:Q$254)/SUMIF('nres bld data'!$W$256:$W$297,"="&amp;$B72&amp;$C72,'nres bld data'!Q$256:Q$297),0)</f>
        <v>0</v>
      </c>
    </row>
    <row r="73" spans="2:28">
      <c r="B73" s="20" t="s">
        <v>5</v>
      </c>
      <c r="C73" s="20" t="s">
        <v>438</v>
      </c>
      <c r="D73" s="20" t="s">
        <v>443</v>
      </c>
      <c r="E73" s="55">
        <f t="shared" ca="1" si="0"/>
        <v>0</v>
      </c>
      <c r="F73" s="55">
        <f t="shared" ca="1" si="1"/>
        <v>1.3093067865501355E-2</v>
      </c>
      <c r="G73" s="21">
        <f ca="1">IFERROR(SUMIF('nres bld data'!$A$3:$A$38,B73&amp;C73,'nres bld data'!$D$3:$D$38),0)</f>
        <v>1622694</v>
      </c>
      <c r="H73" s="21">
        <f t="shared" ref="H73:I73" ca="1" si="77">$T73*U73</f>
        <v>54506.762103734756</v>
      </c>
      <c r="I73" s="21">
        <f t="shared" ca="1" si="77"/>
        <v>65614.109387058925</v>
      </c>
      <c r="J73" s="21"/>
      <c r="K73" s="21"/>
      <c r="S73" s="115"/>
      <c r="T73" s="22">
        <f ca="1">G73/SUMIF('nres bld data'!$B$3:$B$38,$B73,'nres bld data'!$D$3:$D$38)</f>
        <v>3.0474745785085935E-2</v>
      </c>
      <c r="U73" s="21">
        <f>SUMIFS('Projections by County'!$D$10:$D$36,'Projections by County'!$A$10:$A$36,$B73,'Projections by County'!$C$10:$C$36,"Electricity (kWh)",'Projections by County'!$B$10:$B$36,"Commercial")*BTU_per_kWh/1000000</f>
        <v>1788587.91761964</v>
      </c>
      <c r="V73" s="21">
        <f>SUMIFS('Projections by County'!$D$10:$D$36,'Projections by County'!$A$10:$A$36,$B73,'Projections by County'!$C$10:$C$36,"Natural Gas",'Projections by County'!$B$10:$B$36,"Commercial")</f>
        <v>2153065.0279999999</v>
      </c>
      <c r="W73" s="116"/>
      <c r="X73" s="116">
        <f>IFERROR(SUMIF('nres bld data'!$V$3:$V$254,"="&amp;$B73&amp;$C73&amp;$D73,'nres bld data'!P$3:P$254)/SUMIF('nres bld data'!$V$3:$V$254,"="&amp;$B73&amp;$C73&amp;$D73,'nres bld data'!$T$3:$T$254),0)</f>
        <v>0</v>
      </c>
      <c r="Y73" s="116">
        <f>IFERROR(SUMIF('nres bld data'!$V$3:$V$254,"="&amp;$B73&amp;$C73&amp;$D73,'nres bld data'!Q$3:Q$254)/SUMIF('nres bld data'!$V$3:$V$254,"="&amp;$B73&amp;$C73&amp;$D73,'nres bld data'!$T$3:$T$254),0)</f>
        <v>0.27869745351294606</v>
      </c>
      <c r="AA73" s="116">
        <f ca="1">IFERROR(SUMIF('nres bld data'!$V$3:$V$254,"="&amp;$B73&amp;$C73&amp;$D73,'nres bld data'!P$3:P$254)/SUMIF('nres bld data'!$W$256:$W$297,"="&amp;$B73&amp;$C73,'nres bld data'!P$256:P$297),0)</f>
        <v>0</v>
      </c>
      <c r="AB73" s="116">
        <f ca="1">IFERROR(SUMIF('nres bld data'!$V$3:$V$254,"="&amp;$B73&amp;$C73&amp;$D73,'nres bld data'!Q$3:Q$254)/SUMIF('nres bld data'!$W$256:$W$297,"="&amp;$B73&amp;$C73,'nres bld data'!Q$256:Q$297),0)</f>
        <v>0.3238029574037351</v>
      </c>
    </row>
    <row r="74" spans="2:28">
      <c r="B74" s="20" t="s">
        <v>5</v>
      </c>
      <c r="C74" s="20" t="s">
        <v>438</v>
      </c>
      <c r="D74" s="20" t="s">
        <v>445</v>
      </c>
      <c r="E74" s="55">
        <f t="shared" ca="1" si="0"/>
        <v>4.6093836448483014E-3</v>
      </c>
      <c r="F74" s="55">
        <f t="shared" ca="1" si="1"/>
        <v>1.0879027167040896E-2</v>
      </c>
      <c r="G74" s="21">
        <f ca="1">IFERROR(SUMIF('nres bld data'!$A$3:$A$38,B74&amp;C74,'nres bld data'!$D$3:$D$38),0)</f>
        <v>1622694</v>
      </c>
      <c r="H74" s="21">
        <f t="shared" ref="H74:I74" ca="1" si="78">$T74*U74</f>
        <v>54506.762103734756</v>
      </c>
      <c r="I74" s="21">
        <f t="shared" ca="1" si="78"/>
        <v>65614.109387058925</v>
      </c>
      <c r="J74" s="21"/>
      <c r="K74" s="21"/>
      <c r="S74" s="115"/>
      <c r="T74" s="22">
        <f ca="1">G74/SUMIF('nres bld data'!$B$3:$B$38,$B74,'nres bld data'!$D$3:$D$38)</f>
        <v>3.0474745785085935E-2</v>
      </c>
      <c r="U74" s="21">
        <f>SUMIFS('Projections by County'!$D$10:$D$36,'Projections by County'!$A$10:$A$36,$B74,'Projections by County'!$C$10:$C$36,"Electricity (kWh)",'Projections by County'!$B$10:$B$36,"Commercial")*BTU_per_kWh/1000000</f>
        <v>1788587.91761964</v>
      </c>
      <c r="V74" s="21">
        <f>SUMIFS('Projections by County'!$D$10:$D$36,'Projections by County'!$A$10:$A$36,$B74,'Projections by County'!$C$10:$C$36,"Natural Gas",'Projections by County'!$B$10:$B$36,"Commercial")</f>
        <v>2153065.0279999999</v>
      </c>
      <c r="W74" s="116"/>
      <c r="X74" s="116">
        <f>IFERROR(SUMIF('nres bld data'!$V$3:$V$254,"="&amp;$B74&amp;$C74&amp;$D74,'nres bld data'!P$3:P$254)/SUMIF('nres bld data'!$V$3:$V$254,"="&amp;$B74&amp;$C74&amp;$D74,'nres bld data'!$T$3:$T$254),0)</f>
        <v>0.60040383241895057</v>
      </c>
      <c r="Y74" s="116">
        <f>IFERROR(SUMIF('nres bld data'!$V$3:$V$254,"="&amp;$B74&amp;$C74&amp;$D74,'nres bld data'!Q$3:Q$254)/SUMIF('nres bld data'!$V$3:$V$254,"="&amp;$B74&amp;$C74&amp;$D74,'nres bld data'!$T$3:$T$254),0)</f>
        <v>0.39959616758104949</v>
      </c>
      <c r="AA74" s="116">
        <f ca="1">IFERROR(SUMIF('nres bld data'!$V$3:$V$254,"="&amp;$B74&amp;$C74&amp;$D74,'nres bld data'!P$3:P$254)/SUMIF('nres bld data'!$W$256:$W$297,"="&amp;$B74&amp;$C74,'nres bld data'!P$256:P$297),0)</f>
        <v>0.13722369290545278</v>
      </c>
      <c r="AB74" s="116">
        <f ca="1">IFERROR(SUMIF('nres bld data'!$V$3:$V$254,"="&amp;$B74&amp;$C74&amp;$D74,'nres bld data'!Q$3:Q$254)/SUMIF('nres bld data'!$W$256:$W$297,"="&amp;$B74&amp;$C74,'nres bld data'!Q$256:Q$297),0)</f>
        <v>0.26904780503316605</v>
      </c>
    </row>
    <row r="75" spans="2:28">
      <c r="B75" s="20" t="s">
        <v>5</v>
      </c>
      <c r="C75" s="20" t="s">
        <v>464</v>
      </c>
      <c r="D75" s="20" t="s">
        <v>429</v>
      </c>
      <c r="E75" s="55">
        <f t="shared" ca="1" si="0"/>
        <v>0</v>
      </c>
      <c r="F75" s="55">
        <f t="shared" ca="1" si="1"/>
        <v>0</v>
      </c>
      <c r="G75" s="21">
        <f>IFERROR(SUMIF('nres bld data'!$A$3:$A$38,B75&amp;C75,'nres bld data'!$D$3:$D$38),0)</f>
        <v>0</v>
      </c>
      <c r="H75" s="21">
        <f t="shared" ref="H75:I75" ca="1" si="79">$T75*U75</f>
        <v>0</v>
      </c>
      <c r="I75" s="21">
        <f t="shared" ca="1" si="79"/>
        <v>0</v>
      </c>
      <c r="J75" s="21"/>
      <c r="K75" s="21"/>
      <c r="S75" s="115"/>
      <c r="T75" s="22">
        <f ca="1">G75/SUMIF('nres bld data'!$B$3:$B$38,$B75,'nres bld data'!$D$3:$D$38)</f>
        <v>0</v>
      </c>
      <c r="U75" s="21">
        <f>SUMIFS('Projections by County'!$D$10:$D$36,'Projections by County'!$A$10:$A$36,$B75,'Projections by County'!$C$10:$C$36,"Electricity (kWh)",'Projections by County'!$B$10:$B$36,"Commercial")*BTU_per_kWh/1000000</f>
        <v>1788587.91761964</v>
      </c>
      <c r="V75" s="21">
        <f>SUMIFS('Projections by County'!$D$10:$D$36,'Projections by County'!$A$10:$A$36,$B75,'Projections by County'!$C$10:$C$36,"Natural Gas",'Projections by County'!$B$10:$B$36,"Commercial")</f>
        <v>2153065.0279999999</v>
      </c>
      <c r="W75" s="116"/>
      <c r="X75" s="116">
        <f>IFERROR(SUMIF('nres bld data'!$V$3:$V$254,"="&amp;$B75&amp;$C75&amp;$D75,'nres bld data'!P$3:P$254)/SUMIF('nres bld data'!$V$3:$V$254,"="&amp;$B75&amp;$C75&amp;$D75,'nres bld data'!$T$3:$T$254),0)</f>
        <v>1</v>
      </c>
      <c r="Y75" s="116">
        <f>IFERROR(SUMIF('nres bld data'!$V$3:$V$254,"="&amp;$B75&amp;$C75&amp;$D75,'nres bld data'!Q$3:Q$254)/SUMIF('nres bld data'!$V$3:$V$254,"="&amp;$B75&amp;$C75&amp;$D75,'nres bld data'!$T$3:$T$254),0)</f>
        <v>0</v>
      </c>
      <c r="AA75" s="116">
        <f ca="1">IFERROR(SUMIF('nres bld data'!$V$3:$V$254,"="&amp;$B75&amp;$C75&amp;$D75,'nres bld data'!P$3:P$254)/SUMIF('nres bld data'!$W$256:$W$297,"="&amp;$B75&amp;$C75,'nres bld data'!P$256:P$297),0)</f>
        <v>0.40614090660276336</v>
      </c>
      <c r="AB75" s="116">
        <f ca="1">IFERROR(SUMIF('nres bld data'!$V$3:$V$254,"="&amp;$B75&amp;$C75&amp;$D75,'nres bld data'!Q$3:Q$254)/SUMIF('nres bld data'!$W$256:$W$297,"="&amp;$B75&amp;$C75,'nres bld data'!Q$256:Q$297),0)</f>
        <v>0</v>
      </c>
    </row>
    <row r="76" spans="2:28">
      <c r="B76" s="20" t="s">
        <v>5</v>
      </c>
      <c r="C76" s="20" t="s">
        <v>464</v>
      </c>
      <c r="D76" s="20" t="s">
        <v>433</v>
      </c>
      <c r="E76" s="55">
        <f t="shared" ca="1" si="0"/>
        <v>0</v>
      </c>
      <c r="F76" s="55">
        <f t="shared" ca="1" si="1"/>
        <v>0</v>
      </c>
      <c r="G76" s="21">
        <f>IFERROR(SUMIF('nres bld data'!$A$3:$A$38,B76&amp;C76,'nres bld data'!$D$3:$D$38),0)</f>
        <v>0</v>
      </c>
      <c r="H76" s="21">
        <f t="shared" ref="H76:I76" ca="1" si="80">$T76*U76</f>
        <v>0</v>
      </c>
      <c r="I76" s="21">
        <f t="shared" ca="1" si="80"/>
        <v>0</v>
      </c>
      <c r="J76" s="21"/>
      <c r="K76" s="21"/>
      <c r="S76" s="115"/>
      <c r="T76" s="22">
        <f ca="1">G76/SUMIF('nres bld data'!$B$3:$B$38,$B76,'nres bld data'!$D$3:$D$38)</f>
        <v>0</v>
      </c>
      <c r="U76" s="21">
        <f>SUMIFS('Projections by County'!$D$10:$D$36,'Projections by County'!$A$10:$A$36,$B76,'Projections by County'!$C$10:$C$36,"Electricity (kWh)",'Projections by County'!$B$10:$B$36,"Commercial")*BTU_per_kWh/1000000</f>
        <v>1788587.91761964</v>
      </c>
      <c r="V76" s="21">
        <f>SUMIFS('Projections by County'!$D$10:$D$36,'Projections by County'!$A$10:$A$36,$B76,'Projections by County'!$C$10:$C$36,"Natural Gas",'Projections by County'!$B$10:$B$36,"Commercial")</f>
        <v>2153065.0279999999</v>
      </c>
      <c r="W76" s="116"/>
      <c r="X76" s="116">
        <f>IFERROR(SUMIF('nres bld data'!$V$3:$V$254,"="&amp;$B76&amp;$C76&amp;$D76,'nres bld data'!P$3:P$254)/SUMIF('nres bld data'!$V$3:$V$254,"="&amp;$B76&amp;$C76&amp;$D76,'nres bld data'!$T$3:$T$254),0)</f>
        <v>1</v>
      </c>
      <c r="Y76" s="116">
        <f>IFERROR(SUMIF('nres bld data'!$V$3:$V$254,"="&amp;$B76&amp;$C76&amp;$D76,'nres bld data'!Q$3:Q$254)/SUMIF('nres bld data'!$V$3:$V$254,"="&amp;$B76&amp;$C76&amp;$D76,'nres bld data'!$T$3:$T$254),0)</f>
        <v>0</v>
      </c>
      <c r="AA76" s="116">
        <f ca="1">IFERROR(SUMIF('nres bld data'!$V$3:$V$254,"="&amp;$B76&amp;$C76&amp;$D76,'nres bld data'!P$3:P$254)/SUMIF('nres bld data'!$W$256:$W$297,"="&amp;$B76&amp;$C76,'nres bld data'!P$256:P$297),0)</f>
        <v>0.2024462549909164</v>
      </c>
      <c r="AB76" s="116">
        <f ca="1">IFERROR(SUMIF('nres bld data'!$V$3:$V$254,"="&amp;$B76&amp;$C76&amp;$D76,'nres bld data'!Q$3:Q$254)/SUMIF('nres bld data'!$W$256:$W$297,"="&amp;$B76&amp;$C76,'nres bld data'!Q$256:Q$297),0)</f>
        <v>0</v>
      </c>
    </row>
    <row r="77" spans="2:28">
      <c r="B77" s="20" t="s">
        <v>5</v>
      </c>
      <c r="C77" s="20" t="s">
        <v>464</v>
      </c>
      <c r="D77" s="20" t="s">
        <v>437</v>
      </c>
      <c r="E77" s="55">
        <f t="shared" ca="1" si="0"/>
        <v>0</v>
      </c>
      <c r="F77" s="55">
        <f t="shared" ca="1" si="1"/>
        <v>0</v>
      </c>
      <c r="G77" s="21">
        <f>IFERROR(SUMIF('nres bld data'!$A$3:$A$38,B77&amp;C77,'nres bld data'!$D$3:$D$38),0)</f>
        <v>0</v>
      </c>
      <c r="H77" s="21">
        <f t="shared" ref="H77:I77" ca="1" si="81">$T77*U77</f>
        <v>0</v>
      </c>
      <c r="I77" s="21">
        <f t="shared" ca="1" si="81"/>
        <v>0</v>
      </c>
      <c r="J77" s="21"/>
      <c r="K77" s="21"/>
      <c r="S77" s="115"/>
      <c r="T77" s="22">
        <f ca="1">G77/SUMIF('nres bld data'!$B$3:$B$38,$B77,'nres bld data'!$D$3:$D$38)</f>
        <v>0</v>
      </c>
      <c r="U77" s="21">
        <f>SUMIFS('Projections by County'!$D$10:$D$36,'Projections by County'!$A$10:$A$36,$B77,'Projections by County'!$C$10:$C$36,"Electricity (kWh)",'Projections by County'!$B$10:$B$36,"Commercial")*BTU_per_kWh/1000000</f>
        <v>1788587.91761964</v>
      </c>
      <c r="V77" s="21">
        <f>SUMIFS('Projections by County'!$D$10:$D$36,'Projections by County'!$A$10:$A$36,$B77,'Projections by County'!$C$10:$C$36,"Natural Gas",'Projections by County'!$B$10:$B$36,"Commercial")</f>
        <v>2153065.0279999999</v>
      </c>
      <c r="W77" s="116"/>
      <c r="X77" s="116">
        <f>IFERROR(SUMIF('nres bld data'!$V$3:$V$254,"="&amp;$B77&amp;$C77&amp;$D77,'nres bld data'!P$3:P$254)/SUMIF('nres bld data'!$V$3:$V$254,"="&amp;$B77&amp;$C77&amp;$D77,'nres bld data'!$T$3:$T$254),0)</f>
        <v>1</v>
      </c>
      <c r="Y77" s="116">
        <f>IFERROR(SUMIF('nres bld data'!$V$3:$V$254,"="&amp;$B77&amp;$C77&amp;$D77,'nres bld data'!Q$3:Q$254)/SUMIF('nres bld data'!$V$3:$V$254,"="&amp;$B77&amp;$C77&amp;$D77,'nres bld data'!$T$3:$T$254),0)</f>
        <v>0</v>
      </c>
      <c r="AA77" s="116">
        <f ca="1">IFERROR(SUMIF('nres bld data'!$V$3:$V$254,"="&amp;$B77&amp;$C77&amp;$D77,'nres bld data'!P$3:P$254)/SUMIF('nres bld data'!$W$256:$W$297,"="&amp;$B77&amp;$C77,'nres bld data'!P$256:P$297),0)</f>
        <v>0.23016660505944181</v>
      </c>
      <c r="AB77" s="116">
        <f ca="1">IFERROR(SUMIF('nres bld data'!$V$3:$V$254,"="&amp;$B77&amp;$C77&amp;$D77,'nres bld data'!Q$3:Q$254)/SUMIF('nres bld data'!$W$256:$W$297,"="&amp;$B77&amp;$C77,'nres bld data'!Q$256:Q$297),0)</f>
        <v>0</v>
      </c>
    </row>
    <row r="78" spans="2:28">
      <c r="B78" s="20" t="s">
        <v>5</v>
      </c>
      <c r="C78" s="20" t="s">
        <v>464</v>
      </c>
      <c r="D78" s="20" t="s">
        <v>440</v>
      </c>
      <c r="E78" s="55">
        <f t="shared" ca="1" si="0"/>
        <v>0</v>
      </c>
      <c r="F78" s="55">
        <f t="shared" ca="1" si="1"/>
        <v>0</v>
      </c>
      <c r="G78" s="21">
        <f>IFERROR(SUMIF('nres bld data'!$A$3:$A$38,B78&amp;C78,'nres bld data'!$D$3:$D$38),0)</f>
        <v>0</v>
      </c>
      <c r="H78" s="21">
        <f t="shared" ref="H78:I78" ca="1" si="82">$T78*U78</f>
        <v>0</v>
      </c>
      <c r="I78" s="21">
        <f t="shared" ca="1" si="82"/>
        <v>0</v>
      </c>
      <c r="J78" s="21"/>
      <c r="K78" s="21"/>
      <c r="S78" s="115"/>
      <c r="T78" s="22">
        <f ca="1">G78/SUMIF('nres bld data'!$B$3:$B$38,$B78,'nres bld data'!$D$3:$D$38)</f>
        <v>0</v>
      </c>
      <c r="U78" s="21">
        <f>SUMIFS('Projections by County'!$D$10:$D$36,'Projections by County'!$A$10:$A$36,$B78,'Projections by County'!$C$10:$C$36,"Electricity (kWh)",'Projections by County'!$B$10:$B$36,"Commercial")*BTU_per_kWh/1000000</f>
        <v>1788587.91761964</v>
      </c>
      <c r="V78" s="21">
        <f>SUMIFS('Projections by County'!$D$10:$D$36,'Projections by County'!$A$10:$A$36,$B78,'Projections by County'!$C$10:$C$36,"Natural Gas",'Projections by County'!$B$10:$B$36,"Commercial")</f>
        <v>2153065.0279999999</v>
      </c>
      <c r="W78" s="116"/>
      <c r="X78" s="116">
        <f>IFERROR(SUMIF('nres bld data'!$V$3:$V$254,"="&amp;$B78&amp;$C78&amp;$D78,'nres bld data'!P$3:P$254)/SUMIF('nres bld data'!$V$3:$V$254,"="&amp;$B78&amp;$C78&amp;$D78,'nres bld data'!$T$3:$T$254),0)</f>
        <v>1</v>
      </c>
      <c r="Y78" s="116">
        <f>IFERROR(SUMIF('nres bld data'!$V$3:$V$254,"="&amp;$B78&amp;$C78&amp;$D78,'nres bld data'!Q$3:Q$254)/SUMIF('nres bld data'!$V$3:$V$254,"="&amp;$B78&amp;$C78&amp;$D78,'nres bld data'!$T$3:$T$254),0)</f>
        <v>0</v>
      </c>
      <c r="AA78" s="116">
        <f ca="1">IFERROR(SUMIF('nres bld data'!$V$3:$V$254,"="&amp;$B78&amp;$C78&amp;$D78,'nres bld data'!P$3:P$254)/SUMIF('nres bld data'!$W$256:$W$297,"="&amp;$B78&amp;$C78,'nres bld data'!P$256:P$297),0)</f>
        <v>9.3134263882212895E-2</v>
      </c>
      <c r="AB78" s="116">
        <f ca="1">IFERROR(SUMIF('nres bld data'!$V$3:$V$254,"="&amp;$B78&amp;$C78&amp;$D78,'nres bld data'!Q$3:Q$254)/SUMIF('nres bld data'!$W$256:$W$297,"="&amp;$B78&amp;$C78,'nres bld data'!Q$256:Q$297),0)</f>
        <v>0</v>
      </c>
    </row>
    <row r="79" spans="2:28">
      <c r="B79" s="20" t="s">
        <v>5</v>
      </c>
      <c r="C79" s="20" t="s">
        <v>464</v>
      </c>
      <c r="D79" s="20" t="s">
        <v>443</v>
      </c>
      <c r="E79" s="55">
        <f t="shared" ca="1" si="0"/>
        <v>0</v>
      </c>
      <c r="F79" s="55">
        <f t="shared" ca="1" si="1"/>
        <v>0</v>
      </c>
      <c r="G79" s="21">
        <f>IFERROR(SUMIF('nres bld data'!$A$3:$A$38,B79&amp;C79,'nres bld data'!$D$3:$D$38),0)</f>
        <v>0</v>
      </c>
      <c r="H79" s="21">
        <f t="shared" ref="H79:I79" ca="1" si="83">$T79*U79</f>
        <v>0</v>
      </c>
      <c r="I79" s="21">
        <f t="shared" ca="1" si="83"/>
        <v>0</v>
      </c>
      <c r="J79" s="21"/>
      <c r="K79" s="21"/>
      <c r="S79" s="115"/>
      <c r="T79" s="22">
        <f ca="1">G79/SUMIF('nres bld data'!$B$3:$B$38,$B79,'nres bld data'!$D$3:$D$38)</f>
        <v>0</v>
      </c>
      <c r="U79" s="21">
        <f>SUMIFS('Projections by County'!$D$10:$D$36,'Projections by County'!$A$10:$A$36,$B79,'Projections by County'!$C$10:$C$36,"Electricity (kWh)",'Projections by County'!$B$10:$B$36,"Commercial")*BTU_per_kWh/1000000</f>
        <v>1788587.91761964</v>
      </c>
      <c r="V79" s="21">
        <f>SUMIFS('Projections by County'!$D$10:$D$36,'Projections by County'!$A$10:$A$36,$B79,'Projections by County'!$C$10:$C$36,"Natural Gas",'Projections by County'!$B$10:$B$36,"Commercial")</f>
        <v>2153065.0279999999</v>
      </c>
      <c r="W79" s="116"/>
      <c r="X79" s="116">
        <f>IFERROR(SUMIF('nres bld data'!$V$3:$V$254,"="&amp;$B79&amp;$C79&amp;$D79,'nres bld data'!P$3:P$254)/SUMIF('nres bld data'!$V$3:$V$254,"="&amp;$B79&amp;$C79&amp;$D79,'nres bld data'!$T$3:$T$254),0)</f>
        <v>7.7342015941021705E-2</v>
      </c>
      <c r="Y79" s="116">
        <f>IFERROR(SUMIF('nres bld data'!$V$3:$V$254,"="&amp;$B79&amp;$C79&amp;$D79,'nres bld data'!Q$3:Q$254)/SUMIF('nres bld data'!$V$3:$V$254,"="&amp;$B79&amp;$C79&amp;$D79,'nres bld data'!$T$3:$T$254),0)</f>
        <v>0.86029560673093952</v>
      </c>
      <c r="AA79" s="116">
        <f ca="1">IFERROR(SUMIF('nres bld data'!$V$3:$V$254,"="&amp;$B79&amp;$C79&amp;$D79,'nres bld data'!P$3:P$254)/SUMIF('nres bld data'!$W$256:$W$297,"="&amp;$B79&amp;$C79,'nres bld data'!P$256:P$297),0)</f>
        <v>4.6125351340672416E-2</v>
      </c>
      <c r="AB79" s="116">
        <f ca="1">IFERROR(SUMIF('nres bld data'!$V$3:$V$254,"="&amp;$B79&amp;$C79&amp;$D79,'nres bld data'!Q$3:Q$254)/SUMIF('nres bld data'!$W$256:$W$297,"="&amp;$B79&amp;$C79,'nres bld data'!Q$256:Q$297),0)</f>
        <v>0.94978430561162996</v>
      </c>
    </row>
    <row r="80" spans="2:28">
      <c r="B80" s="20" t="s">
        <v>5</v>
      </c>
      <c r="C80" s="20" t="s">
        <v>464</v>
      </c>
      <c r="D80" s="20" t="s">
        <v>445</v>
      </c>
      <c r="E80" s="55">
        <f t="shared" ca="1" si="0"/>
        <v>0</v>
      </c>
      <c r="F80" s="55">
        <f t="shared" ca="1" si="1"/>
        <v>0</v>
      </c>
      <c r="G80" s="21">
        <f>IFERROR(SUMIF('nres bld data'!$A$3:$A$38,B80&amp;C80,'nres bld data'!$D$3:$D$38),0)</f>
        <v>0</v>
      </c>
      <c r="H80" s="21">
        <f t="shared" ref="H80:I80" ca="1" si="84">$T80*U80</f>
        <v>0</v>
      </c>
      <c r="I80" s="21">
        <f t="shared" ca="1" si="84"/>
        <v>0</v>
      </c>
      <c r="J80" s="21"/>
      <c r="K80" s="21"/>
      <c r="S80" s="115"/>
      <c r="T80" s="22">
        <f ca="1">G80/SUMIF('nres bld data'!$B$3:$B$38,$B80,'nres bld data'!$D$3:$D$38)</f>
        <v>0</v>
      </c>
      <c r="U80" s="21">
        <f>SUMIFS('Projections by County'!$D$10:$D$36,'Projections by County'!$A$10:$A$36,$B80,'Projections by County'!$C$10:$C$36,"Electricity (kWh)",'Projections by County'!$B$10:$B$36,"Commercial")*BTU_per_kWh/1000000</f>
        <v>1788587.91761964</v>
      </c>
      <c r="V80" s="21">
        <f>SUMIFS('Projections by County'!$D$10:$D$36,'Projections by County'!$A$10:$A$36,$B80,'Projections by County'!$C$10:$C$36,"Natural Gas",'Projections by County'!$B$10:$B$36,"Commercial")</f>
        <v>2153065.0279999999</v>
      </c>
      <c r="W80" s="116"/>
      <c r="X80" s="116">
        <f>IFERROR(SUMIF('nres bld data'!$V$3:$V$254,"="&amp;$B80&amp;$C80&amp;$D80,'nres bld data'!P$3:P$254)/SUMIF('nres bld data'!$V$3:$V$254,"="&amp;$B80&amp;$C80&amp;$D80,'nres bld data'!$T$3:$T$254),0)</f>
        <v>0.42529687164068319</v>
      </c>
      <c r="Y80" s="116">
        <f>IFERROR(SUMIF('nres bld data'!$V$3:$V$254,"="&amp;$B80&amp;$C80&amp;$D80,'nres bld data'!Q$3:Q$254)/SUMIF('nres bld data'!$V$3:$V$254,"="&amp;$B80&amp;$C80&amp;$D80,'nres bld data'!$T$3:$T$254),0)</f>
        <v>0.52471096858778266</v>
      </c>
      <c r="AA80" s="116">
        <f ca="1">IFERROR(SUMIF('nres bld data'!$V$3:$V$254,"="&amp;$B80&amp;$C80&amp;$D80,'nres bld data'!P$3:P$254)/SUMIF('nres bld data'!$W$256:$W$297,"="&amp;$B80&amp;$C80,'nres bld data'!P$256:P$297),0)</f>
        <v>2.1986618123993044E-2</v>
      </c>
      <c r="AB80" s="116">
        <f ca="1">IFERROR(SUMIF('nres bld data'!$V$3:$V$254,"="&amp;$B80&amp;$C80&amp;$D80,'nres bld data'!Q$3:Q$254)/SUMIF('nres bld data'!$W$256:$W$297,"="&amp;$B80&amp;$C80,'nres bld data'!Q$256:Q$297),0)</f>
        <v>5.021569438837005E-2</v>
      </c>
    </row>
    <row r="81" spans="2:28">
      <c r="B81" s="20" t="s">
        <v>5</v>
      </c>
      <c r="C81" s="20" t="s">
        <v>452</v>
      </c>
      <c r="D81" s="20" t="s">
        <v>429</v>
      </c>
      <c r="E81" s="55">
        <f t="shared" ca="1" si="0"/>
        <v>1.7421806365676952E-2</v>
      </c>
      <c r="F81" s="55">
        <f t="shared" ca="1" si="1"/>
        <v>0</v>
      </c>
      <c r="G81" s="21">
        <f ca="1">IFERROR(SUMIF('nres bld data'!$A$3:$A$38,B81&amp;C81,'nres bld data'!$D$3:$D$38),0)</f>
        <v>5882558</v>
      </c>
      <c r="H81" s="21">
        <f t="shared" ref="H81:I81" ca="1" si="85">$T81*U81</f>
        <v>197596.82938830223</v>
      </c>
      <c r="I81" s="21">
        <f t="shared" ca="1" si="85"/>
        <v>237862.96374283664</v>
      </c>
      <c r="J81" s="21"/>
      <c r="K81" s="21"/>
      <c r="S81" s="115"/>
      <c r="T81" s="22">
        <f ca="1">G81/SUMIF('nres bld data'!$B$3:$B$38,$B81,'nres bld data'!$D$3:$D$38)</f>
        <v>0.11047644202543642</v>
      </c>
      <c r="U81" s="21">
        <f>SUMIFS('Projections by County'!$D$10:$D$36,'Projections by County'!$A$10:$A$36,$B81,'Projections by County'!$C$10:$C$36,"Electricity (kWh)",'Projections by County'!$B$10:$B$36,"Commercial")*BTU_per_kWh/1000000</f>
        <v>1788587.91761964</v>
      </c>
      <c r="V81" s="21">
        <f>SUMIFS('Projections by County'!$D$10:$D$36,'Projections by County'!$A$10:$A$36,$B81,'Projections by County'!$C$10:$C$36,"Natural Gas",'Projections by County'!$B$10:$B$36,"Commercial")</f>
        <v>2153065.0279999999</v>
      </c>
      <c r="W81" s="116"/>
      <c r="X81" s="116">
        <f>IFERROR(SUMIF('nres bld data'!$V$3:$V$254,"="&amp;$B81&amp;$C81&amp;$D81,'nres bld data'!P$3:P$254)/SUMIF('nres bld data'!$V$3:$V$254,"="&amp;$B81&amp;$C81&amp;$D81,'nres bld data'!$T$3:$T$254),0)</f>
        <v>1</v>
      </c>
      <c r="Y81" s="116">
        <f>IFERROR(SUMIF('nres bld data'!$V$3:$V$254,"="&amp;$B81&amp;$C81&amp;$D81,'nres bld data'!Q$3:Q$254)/SUMIF('nres bld data'!$V$3:$V$254,"="&amp;$B81&amp;$C81&amp;$D81,'nres bld data'!$T$3:$T$254),0)</f>
        <v>0</v>
      </c>
      <c r="AA81" s="116">
        <f ca="1">IFERROR(SUMIF('nres bld data'!$V$3:$V$254,"="&amp;$B81&amp;$C81&amp;$D81,'nres bld data'!P$3:P$254)/SUMIF('nres bld data'!$W$256:$W$297,"="&amp;$B81&amp;$C81,'nres bld data'!P$256:P$297),0)</f>
        <v>0.51865602665854826</v>
      </c>
      <c r="AB81" s="116">
        <f ca="1">IFERROR(SUMIF('nres bld data'!$V$3:$V$254,"="&amp;$B81&amp;$C81&amp;$D81,'nres bld data'!Q$3:Q$254)/SUMIF('nres bld data'!$W$256:$W$297,"="&amp;$B81&amp;$C81,'nres bld data'!Q$256:Q$297),0)</f>
        <v>0</v>
      </c>
    </row>
    <row r="82" spans="2:28">
      <c r="B82" s="20" t="s">
        <v>5</v>
      </c>
      <c r="C82" s="20" t="s">
        <v>452</v>
      </c>
      <c r="D82" s="20" t="s">
        <v>433</v>
      </c>
      <c r="E82" s="55">
        <f t="shared" ca="1" si="0"/>
        <v>1.207755066185757E-3</v>
      </c>
      <c r="F82" s="55">
        <f t="shared" ca="1" si="1"/>
        <v>0</v>
      </c>
      <c r="G82" s="21">
        <f ca="1">IFERROR(SUMIF('nres bld data'!$A$3:$A$38,B82&amp;C82,'nres bld data'!$D$3:$D$38),0)</f>
        <v>5882558</v>
      </c>
      <c r="H82" s="21">
        <f t="shared" ref="H82:I82" ca="1" si="86">$T82*U82</f>
        <v>197596.82938830223</v>
      </c>
      <c r="I82" s="21">
        <f t="shared" ca="1" si="86"/>
        <v>237862.96374283664</v>
      </c>
      <c r="J82" s="21"/>
      <c r="K82" s="21"/>
      <c r="S82" s="115"/>
      <c r="T82" s="22">
        <f ca="1">G82/SUMIF('nres bld data'!$B$3:$B$38,$B82,'nres bld data'!$D$3:$D$38)</f>
        <v>0.11047644202543642</v>
      </c>
      <c r="U82" s="21">
        <f>SUMIFS('Projections by County'!$D$10:$D$36,'Projections by County'!$A$10:$A$36,$B82,'Projections by County'!$C$10:$C$36,"Electricity (kWh)",'Projections by County'!$B$10:$B$36,"Commercial")*BTU_per_kWh/1000000</f>
        <v>1788587.91761964</v>
      </c>
      <c r="V82" s="21">
        <f>SUMIFS('Projections by County'!$D$10:$D$36,'Projections by County'!$A$10:$A$36,$B82,'Projections by County'!$C$10:$C$36,"Natural Gas",'Projections by County'!$B$10:$B$36,"Commercial")</f>
        <v>2153065.0279999999</v>
      </c>
      <c r="W82" s="116"/>
      <c r="X82" s="116">
        <f>IFERROR(SUMIF('nres bld data'!$V$3:$V$254,"="&amp;$B82&amp;$C82&amp;$D82,'nres bld data'!P$3:P$254)/SUMIF('nres bld data'!$V$3:$V$254,"="&amp;$B82&amp;$C82&amp;$D82,'nres bld data'!$T$3:$T$254),0)</f>
        <v>1</v>
      </c>
      <c r="Y82" s="116">
        <f>IFERROR(SUMIF('nres bld data'!$V$3:$V$254,"="&amp;$B82&amp;$C82&amp;$D82,'nres bld data'!Q$3:Q$254)/SUMIF('nres bld data'!$V$3:$V$254,"="&amp;$B82&amp;$C82&amp;$D82,'nres bld data'!$T$3:$T$254),0)</f>
        <v>0</v>
      </c>
      <c r="AA82" s="116">
        <f ca="1">IFERROR(SUMIF('nres bld data'!$V$3:$V$254,"="&amp;$B82&amp;$C82&amp;$D82,'nres bld data'!P$3:P$254)/SUMIF('nres bld data'!$W$256:$W$297,"="&amp;$B82&amp;$C82,'nres bld data'!P$256:P$297),0)</f>
        <v>3.5955481920562402E-2</v>
      </c>
      <c r="AB82" s="116">
        <f ca="1">IFERROR(SUMIF('nres bld data'!$V$3:$V$254,"="&amp;$B82&amp;$C82&amp;$D82,'nres bld data'!Q$3:Q$254)/SUMIF('nres bld data'!$W$256:$W$297,"="&amp;$B82&amp;$C82,'nres bld data'!Q$256:Q$297),0)</f>
        <v>0</v>
      </c>
    </row>
    <row r="83" spans="2:28">
      <c r="B83" s="20" t="s">
        <v>5</v>
      </c>
      <c r="C83" s="20" t="s">
        <v>452</v>
      </c>
      <c r="D83" s="20" t="s">
        <v>437</v>
      </c>
      <c r="E83" s="55">
        <f t="shared" ca="1" si="0"/>
        <v>1.3238549089634434E-2</v>
      </c>
      <c r="F83" s="55">
        <f t="shared" ca="1" si="1"/>
        <v>0</v>
      </c>
      <c r="G83" s="21">
        <f ca="1">IFERROR(SUMIF('nres bld data'!$A$3:$A$38,B83&amp;C83,'nres bld data'!$D$3:$D$38),0)</f>
        <v>5882558</v>
      </c>
      <c r="H83" s="21">
        <f t="shared" ref="H83:I83" ca="1" si="87">$T83*U83</f>
        <v>197596.82938830223</v>
      </c>
      <c r="I83" s="21">
        <f t="shared" ca="1" si="87"/>
        <v>237862.96374283664</v>
      </c>
      <c r="J83" s="21"/>
      <c r="K83" s="21"/>
      <c r="S83" s="115"/>
      <c r="T83" s="22">
        <f ca="1">G83/SUMIF('nres bld data'!$B$3:$B$38,$B83,'nres bld data'!$D$3:$D$38)</f>
        <v>0.11047644202543642</v>
      </c>
      <c r="U83" s="21">
        <f>SUMIFS('Projections by County'!$D$10:$D$36,'Projections by County'!$A$10:$A$36,$B83,'Projections by County'!$C$10:$C$36,"Electricity (kWh)",'Projections by County'!$B$10:$B$36,"Commercial")*BTU_per_kWh/1000000</f>
        <v>1788587.91761964</v>
      </c>
      <c r="V83" s="21">
        <f>SUMIFS('Projections by County'!$D$10:$D$36,'Projections by County'!$A$10:$A$36,$B83,'Projections by County'!$C$10:$C$36,"Natural Gas",'Projections by County'!$B$10:$B$36,"Commercial")</f>
        <v>2153065.0279999999</v>
      </c>
      <c r="W83" s="116"/>
      <c r="X83" s="116">
        <f>IFERROR(SUMIF('nres bld data'!$V$3:$V$254,"="&amp;$B83&amp;$C83&amp;$D83,'nres bld data'!P$3:P$254)/SUMIF('nres bld data'!$V$3:$V$254,"="&amp;$B83&amp;$C83&amp;$D83,'nres bld data'!$T$3:$T$254),0)</f>
        <v>1</v>
      </c>
      <c r="Y83" s="116">
        <f>IFERROR(SUMIF('nres bld data'!$V$3:$V$254,"="&amp;$B83&amp;$C83&amp;$D83,'nres bld data'!Q$3:Q$254)/SUMIF('nres bld data'!$V$3:$V$254,"="&amp;$B83&amp;$C83&amp;$D83,'nres bld data'!$T$3:$T$254),0)</f>
        <v>0</v>
      </c>
      <c r="AA83" s="116">
        <f ca="1">IFERROR(SUMIF('nres bld data'!$V$3:$V$254,"="&amp;$B83&amp;$C83&amp;$D83,'nres bld data'!P$3:P$254)/SUMIF('nres bld data'!$W$256:$W$297,"="&amp;$B83&amp;$C83,'nres bld data'!P$256:P$297),0)</f>
        <v>0.39411833224603382</v>
      </c>
      <c r="AB83" s="116">
        <f ca="1">IFERROR(SUMIF('nres bld data'!$V$3:$V$254,"="&amp;$B83&amp;$C83&amp;$D83,'nres bld data'!Q$3:Q$254)/SUMIF('nres bld data'!$W$256:$W$297,"="&amp;$B83&amp;$C83,'nres bld data'!Q$256:Q$297),0)</f>
        <v>0</v>
      </c>
    </row>
    <row r="84" spans="2:28">
      <c r="B84" s="20" t="s">
        <v>5</v>
      </c>
      <c r="C84" s="20" t="s">
        <v>452</v>
      </c>
      <c r="D84" s="20" t="s">
        <v>440</v>
      </c>
      <c r="E84" s="55">
        <f t="shared" ca="1" si="0"/>
        <v>3.9708816556713859E-4</v>
      </c>
      <c r="F84" s="55">
        <f t="shared" ca="1" si="1"/>
        <v>0</v>
      </c>
      <c r="G84" s="21">
        <f ca="1">IFERROR(SUMIF('nres bld data'!$A$3:$A$38,B84&amp;C84,'nres bld data'!$D$3:$D$38),0)</f>
        <v>5882558</v>
      </c>
      <c r="H84" s="21">
        <f t="shared" ref="H84:I84" ca="1" si="88">$T84*U84</f>
        <v>197596.82938830223</v>
      </c>
      <c r="I84" s="21">
        <f t="shared" ca="1" si="88"/>
        <v>237862.96374283664</v>
      </c>
      <c r="J84" s="21"/>
      <c r="K84" s="21"/>
      <c r="S84" s="115"/>
      <c r="T84" s="22">
        <f ca="1">G84/SUMIF('nres bld data'!$B$3:$B$38,$B84,'nres bld data'!$D$3:$D$38)</f>
        <v>0.11047644202543642</v>
      </c>
      <c r="U84" s="21">
        <f>SUMIFS('Projections by County'!$D$10:$D$36,'Projections by County'!$A$10:$A$36,$B84,'Projections by County'!$C$10:$C$36,"Electricity (kWh)",'Projections by County'!$B$10:$B$36,"Commercial")*BTU_per_kWh/1000000</f>
        <v>1788587.91761964</v>
      </c>
      <c r="V84" s="21">
        <f>SUMIFS('Projections by County'!$D$10:$D$36,'Projections by County'!$A$10:$A$36,$B84,'Projections by County'!$C$10:$C$36,"Natural Gas",'Projections by County'!$B$10:$B$36,"Commercial")</f>
        <v>2153065.0279999999</v>
      </c>
      <c r="W84" s="116"/>
      <c r="X84" s="116">
        <f>IFERROR(SUMIF('nres bld data'!$V$3:$V$254,"="&amp;$B84&amp;$C84&amp;$D84,'nres bld data'!P$3:P$254)/SUMIF('nres bld data'!$V$3:$V$254,"="&amp;$B84&amp;$C84&amp;$D84,'nres bld data'!$T$3:$T$254),0)</f>
        <v>1</v>
      </c>
      <c r="Y84" s="116">
        <f>IFERROR(SUMIF('nres bld data'!$V$3:$V$254,"="&amp;$B84&amp;$C84&amp;$D84,'nres bld data'!Q$3:Q$254)/SUMIF('nres bld data'!$V$3:$V$254,"="&amp;$B84&amp;$C84&amp;$D84,'nres bld data'!$T$3:$T$254),0)</f>
        <v>0</v>
      </c>
      <c r="AA84" s="116">
        <f ca="1">IFERROR(SUMIF('nres bld data'!$V$3:$V$254,"="&amp;$B84&amp;$C84&amp;$D84,'nres bld data'!P$3:P$254)/SUMIF('nres bld data'!$W$256:$W$297,"="&amp;$B84&amp;$C84,'nres bld data'!P$256:P$297),0)</f>
        <v>1.1821516429658769E-2</v>
      </c>
      <c r="AB84" s="116">
        <f ca="1">IFERROR(SUMIF('nres bld data'!$V$3:$V$254,"="&amp;$B84&amp;$C84&amp;$D84,'nres bld data'!Q$3:Q$254)/SUMIF('nres bld data'!$W$256:$W$297,"="&amp;$B84&amp;$C84,'nres bld data'!Q$256:Q$297),0)</f>
        <v>0</v>
      </c>
    </row>
    <row r="85" spans="2:28">
      <c r="B85" s="20" t="s">
        <v>5</v>
      </c>
      <c r="C85" s="20" t="s">
        <v>452</v>
      </c>
      <c r="D85" s="20" t="s">
        <v>443</v>
      </c>
      <c r="E85" s="55">
        <f t="shared" ca="1" si="0"/>
        <v>1.3250913514363479E-3</v>
      </c>
      <c r="F85" s="55">
        <f t="shared" ca="1" si="1"/>
        <v>4.0435294261924257E-2</v>
      </c>
      <c r="G85" s="21">
        <f ca="1">IFERROR(SUMIF('nres bld data'!$A$3:$A$38,B85&amp;C85,'nres bld data'!$D$3:$D$38),0)</f>
        <v>5882558</v>
      </c>
      <c r="H85" s="21">
        <f t="shared" ref="H85:I85" ca="1" si="89">$T85*U85</f>
        <v>197596.82938830223</v>
      </c>
      <c r="I85" s="21">
        <f t="shared" ca="1" si="89"/>
        <v>237862.96374283664</v>
      </c>
      <c r="J85" s="21"/>
      <c r="K85" s="21"/>
      <c r="S85" s="115"/>
      <c r="T85" s="22">
        <f ca="1">G85/SUMIF('nres bld data'!$B$3:$B$38,$B85,'nres bld data'!$D$3:$D$38)</f>
        <v>0.11047644202543642</v>
      </c>
      <c r="U85" s="21">
        <f>SUMIFS('Projections by County'!$D$10:$D$36,'Projections by County'!$A$10:$A$36,$B85,'Projections by County'!$C$10:$C$36,"Electricity (kWh)",'Projections by County'!$B$10:$B$36,"Commercial")*BTU_per_kWh/1000000</f>
        <v>1788587.91761964</v>
      </c>
      <c r="V85" s="21">
        <f>SUMIFS('Projections by County'!$D$10:$D$36,'Projections by County'!$A$10:$A$36,$B85,'Projections by County'!$C$10:$C$36,"Natural Gas",'Projections by County'!$B$10:$B$36,"Commercial")</f>
        <v>2153065.0279999999</v>
      </c>
      <c r="W85" s="116"/>
      <c r="X85" s="116">
        <f>IFERROR(SUMIF('nres bld data'!$V$3:$V$254,"="&amp;$B85&amp;$C85&amp;$D85,'nres bld data'!P$3:P$254)/SUMIF('nres bld data'!$V$3:$V$254,"="&amp;$B85&amp;$C85&amp;$D85,'nres bld data'!$T$3:$T$254),0)</f>
        <v>0.20271715666627707</v>
      </c>
      <c r="Y85" s="116">
        <f>IFERROR(SUMIF('nres bld data'!$V$3:$V$254,"="&amp;$B85&amp;$C85&amp;$D85,'nres bld data'!Q$3:Q$254)/SUMIF('nres bld data'!$V$3:$V$254,"="&amp;$B85&amp;$C85&amp;$D85,'nres bld data'!$T$3:$T$254),0)</f>
        <v>0.74929522740247279</v>
      </c>
      <c r="AA85" s="116">
        <f ca="1">IFERROR(SUMIF('nres bld data'!$V$3:$V$254,"="&amp;$B85&amp;$C85&amp;$D85,'nres bld data'!P$3:P$254)/SUMIF('nres bld data'!$W$256:$W$297,"="&amp;$B85&amp;$C85,'nres bld data'!P$256:P$297),0)</f>
        <v>3.9448642745196605E-2</v>
      </c>
      <c r="AB85" s="116">
        <f ca="1">IFERROR(SUMIF('nres bld data'!$V$3:$V$254,"="&amp;$B85&amp;$C85&amp;$D85,'nres bld data'!Q$3:Q$254)/SUMIF('nres bld data'!$W$256:$W$297,"="&amp;$B85&amp;$C85,'nres bld data'!Q$256:Q$297),0)</f>
        <v>1</v>
      </c>
    </row>
    <row r="86" spans="2:28">
      <c r="B86" s="20" t="s">
        <v>5</v>
      </c>
      <c r="C86" s="20" t="s">
        <v>452</v>
      </c>
      <c r="D86" s="20" t="s">
        <v>445</v>
      </c>
      <c r="E86" s="55">
        <f t="shared" ca="1" si="0"/>
        <v>0</v>
      </c>
      <c r="F86" s="55">
        <f t="shared" ca="1" si="1"/>
        <v>0</v>
      </c>
      <c r="G86" s="21">
        <f ca="1">IFERROR(SUMIF('nres bld data'!$A$3:$A$38,B86&amp;C86,'nres bld data'!$D$3:$D$38),0)</f>
        <v>5882558</v>
      </c>
      <c r="H86" s="21">
        <f t="shared" ref="H86:I86" ca="1" si="90">$T86*U86</f>
        <v>197596.82938830223</v>
      </c>
      <c r="I86" s="21">
        <f t="shared" ca="1" si="90"/>
        <v>237862.96374283664</v>
      </c>
      <c r="J86" s="21"/>
      <c r="K86" s="21"/>
      <c r="S86" s="115"/>
      <c r="T86" s="22">
        <f ca="1">G86/SUMIF('nres bld data'!$B$3:$B$38,$B86,'nres bld data'!$D$3:$D$38)</f>
        <v>0.11047644202543642</v>
      </c>
      <c r="U86" s="21">
        <f>SUMIFS('Projections by County'!$D$10:$D$36,'Projections by County'!$A$10:$A$36,$B86,'Projections by County'!$C$10:$C$36,"Electricity (kWh)",'Projections by County'!$B$10:$B$36,"Commercial")*BTU_per_kWh/1000000</f>
        <v>1788587.91761964</v>
      </c>
      <c r="V86" s="21">
        <f>SUMIFS('Projections by County'!$D$10:$D$36,'Projections by County'!$A$10:$A$36,$B86,'Projections by County'!$C$10:$C$36,"Natural Gas",'Projections by County'!$B$10:$B$36,"Commercial")</f>
        <v>2153065.0279999999</v>
      </c>
      <c r="W86" s="116"/>
      <c r="X86" s="116">
        <f>IFERROR(SUMIF('nres bld data'!$V$3:$V$254,"="&amp;$B86&amp;$C86&amp;$D86,'nres bld data'!P$3:P$254)/SUMIF('nres bld data'!$V$3:$V$254,"="&amp;$B86&amp;$C86&amp;$D86,'nres bld data'!$T$3:$T$254),0)</f>
        <v>0</v>
      </c>
      <c r="Y86" s="116">
        <f>IFERROR(SUMIF('nres bld data'!$V$3:$V$254,"="&amp;$B86&amp;$C86&amp;$D86,'nres bld data'!Q$3:Q$254)/SUMIF('nres bld data'!$V$3:$V$254,"="&amp;$B86&amp;$C86&amp;$D86,'nres bld data'!$T$3:$T$254),0)</f>
        <v>0</v>
      </c>
      <c r="AA86" s="116">
        <f ca="1">IFERROR(SUMIF('nres bld data'!$V$3:$V$254,"="&amp;$B86&amp;$C86&amp;$D86,'nres bld data'!P$3:P$254)/SUMIF('nres bld data'!$W$256:$W$297,"="&amp;$B86&amp;$C86,'nres bld data'!P$256:P$297),0)</f>
        <v>0</v>
      </c>
      <c r="AB86" s="116">
        <f ca="1">IFERROR(SUMIF('nres bld data'!$V$3:$V$254,"="&amp;$B86&amp;$C86&amp;$D86,'nres bld data'!Q$3:Q$254)/SUMIF('nres bld data'!$W$256:$W$297,"="&amp;$B86&amp;$C86,'nres bld data'!Q$256:Q$297),0)</f>
        <v>0</v>
      </c>
    </row>
    <row r="87" spans="2:28">
      <c r="B87" s="20" t="s">
        <v>9</v>
      </c>
      <c r="C87" s="20" t="s">
        <v>428</v>
      </c>
      <c r="D87" s="20" t="s">
        <v>429</v>
      </c>
      <c r="E87" s="55">
        <f t="shared" ca="1" si="0"/>
        <v>8.9888208368651655E-3</v>
      </c>
      <c r="F87" s="55">
        <f t="shared" ca="1" si="1"/>
        <v>2.1804506205276724E-2</v>
      </c>
      <c r="G87" s="21">
        <f ca="1">IFERROR(SUMIF('nres bld data'!$A$3:$A$38,B87&amp;C87,'nres bld data'!$D$3:$D$38),0)</f>
        <v>97746</v>
      </c>
      <c r="H87" s="21">
        <f t="shared" ref="H87:I87" ca="1" si="91">$T87*U87</f>
        <v>3337.049623048812</v>
      </c>
      <c r="I87" s="21">
        <f t="shared" ca="1" si="91"/>
        <v>3990.7915666062927</v>
      </c>
      <c r="J87" s="21"/>
      <c r="K87" s="21"/>
      <c r="S87" s="115"/>
      <c r="T87" s="22">
        <f ca="1">G87/SUMIF('nres bld data'!$B$3:$B$38,$B87,'nres bld data'!$D$3:$D$38)</f>
        <v>3.2899484411165669E-3</v>
      </c>
      <c r="U87" s="21">
        <f>SUMIFS('Projections by County'!$D$10:$D$36,'Projections by County'!$A$10:$A$36,$B87,'Projections by County'!$C$10:$C$36,"Electricity (kWh)",'Projections by County'!$B$10:$B$36,"Commercial")*BTU_per_kWh/1000000</f>
        <v>1014316.6930349399</v>
      </c>
      <c r="V87" s="21">
        <f>SUMIFS('Projections by County'!$D$10:$D$36,'Projections by County'!$A$10:$A$36,$B87,'Projections by County'!$C$10:$C$36,"Natural Gas",'Projections by County'!$B$10:$B$36,"Commercial")</f>
        <v>1213025.5649999999</v>
      </c>
      <c r="W87" s="116"/>
      <c r="X87" s="116">
        <f>IFERROR(SUMIF('nres bld data'!$V$3:$V$254,"="&amp;$B87&amp;$C87&amp;$D87,'nres bld data'!P$3:P$254)/SUMIF('nres bld data'!$V$3:$V$254,"="&amp;$B87&amp;$C87&amp;$D87,'nres bld data'!$T$3:$T$254),0)</f>
        <v>0.28305319063669182</v>
      </c>
      <c r="Y87" s="116">
        <f>IFERROR(SUMIF('nres bld data'!$V$3:$V$254,"="&amp;$B87&amp;$C87&amp;$D87,'nres bld data'!Q$3:Q$254)/SUMIF('nres bld data'!$V$3:$V$254,"="&amp;$B87&amp;$C87&amp;$D87,'nres bld data'!$T$3:$T$254),0)</f>
        <v>0.71694680936330824</v>
      </c>
      <c r="AA87" s="116">
        <f ca="1">IFERROR(SUMIF('nres bld data'!$V$3:$V$254,"="&amp;$B87&amp;$C87&amp;$D87,'nres bld data'!P$3:P$254)/SUMIF('nres bld data'!$W$256:$W$297,"="&amp;$B87&amp;$C87,'nres bld data'!P$256:P$297),0)</f>
        <v>0.26329284271100889</v>
      </c>
      <c r="AB87" s="116">
        <f ca="1">IFERROR(SUMIF('nres bld data'!$V$3:$V$254,"="&amp;$B87&amp;$C87&amp;$D87,'nres bld data'!Q$3:Q$254)/SUMIF('nres bld data'!$W$256:$W$297,"="&amp;$B87&amp;$C87,'nres bld data'!Q$256:Q$297),0)</f>
        <v>0.53405526897848132</v>
      </c>
    </row>
    <row r="88" spans="2:28">
      <c r="B88" s="20" t="s">
        <v>9</v>
      </c>
      <c r="C88" s="20" t="s">
        <v>428</v>
      </c>
      <c r="D88" s="20" t="s">
        <v>433</v>
      </c>
      <c r="E88" s="55">
        <f t="shared" ca="1" si="0"/>
        <v>7.8341069788528533E-3</v>
      </c>
      <c r="F88" s="55">
        <f t="shared" ca="1" si="1"/>
        <v>0</v>
      </c>
      <c r="G88" s="21">
        <f ca="1">IFERROR(SUMIF('nres bld data'!$A$3:$A$38,B88&amp;C88,'nres bld data'!$D$3:$D$38),0)</f>
        <v>97746</v>
      </c>
      <c r="H88" s="21">
        <f t="shared" ref="H88:I88" ca="1" si="92">$T88*U88</f>
        <v>3337.049623048812</v>
      </c>
      <c r="I88" s="21">
        <f t="shared" ca="1" si="92"/>
        <v>3990.7915666062927</v>
      </c>
      <c r="J88" s="21"/>
      <c r="K88" s="21"/>
      <c r="S88" s="115"/>
      <c r="T88" s="22">
        <f ca="1">G88/SUMIF('nres bld data'!$B$3:$B$38,$B88,'nres bld data'!$D$3:$D$38)</f>
        <v>3.2899484411165669E-3</v>
      </c>
      <c r="U88" s="21">
        <f>SUMIFS('Projections by County'!$D$10:$D$36,'Projections by County'!$A$10:$A$36,$B88,'Projections by County'!$C$10:$C$36,"Electricity (kWh)",'Projections by County'!$B$10:$B$36,"Commercial")*BTU_per_kWh/1000000</f>
        <v>1014316.6930349399</v>
      </c>
      <c r="V88" s="21">
        <f>SUMIFS('Projections by County'!$D$10:$D$36,'Projections by County'!$A$10:$A$36,$B88,'Projections by County'!$C$10:$C$36,"Natural Gas",'Projections by County'!$B$10:$B$36,"Commercial")</f>
        <v>1213025.5649999999</v>
      </c>
      <c r="W88" s="116"/>
      <c r="X88" s="116">
        <f>IFERROR(SUMIF('nres bld data'!$V$3:$V$254,"="&amp;$B88&amp;$C88&amp;$D88,'nres bld data'!P$3:P$254)/SUMIF('nres bld data'!$V$3:$V$254,"="&amp;$B88&amp;$C88&amp;$D88,'nres bld data'!$T$3:$T$254),0)</f>
        <v>1</v>
      </c>
      <c r="Y88" s="116">
        <f>IFERROR(SUMIF('nres bld data'!$V$3:$V$254,"="&amp;$B88&amp;$C88&amp;$D88,'nres bld data'!Q$3:Q$254)/SUMIF('nres bld data'!$V$3:$V$254,"="&amp;$B88&amp;$C88&amp;$D88,'nres bld data'!$T$3:$T$254),0)</f>
        <v>0</v>
      </c>
      <c r="AA88" s="116">
        <f ca="1">IFERROR(SUMIF('nres bld data'!$V$3:$V$254,"="&amp;$B88&amp;$C88&amp;$D88,'nres bld data'!P$3:P$254)/SUMIF('nres bld data'!$W$256:$W$297,"="&amp;$B88&amp;$C88,'nres bld data'!P$256:P$297),0)</f>
        <v>0.22946995317838281</v>
      </c>
      <c r="AB88" s="116">
        <f ca="1">IFERROR(SUMIF('nres bld data'!$V$3:$V$254,"="&amp;$B88&amp;$C88&amp;$D88,'nres bld data'!Q$3:Q$254)/SUMIF('nres bld data'!$W$256:$W$297,"="&amp;$B88&amp;$C88,'nres bld data'!Q$256:Q$297),0)</f>
        <v>0</v>
      </c>
    </row>
    <row r="89" spans="2:28">
      <c r="B89" s="20" t="s">
        <v>9</v>
      </c>
      <c r="C89" s="20" t="s">
        <v>428</v>
      </c>
      <c r="D89" s="20" t="s">
        <v>437</v>
      </c>
      <c r="E89" s="55">
        <f t="shared" ca="1" si="0"/>
        <v>3.318163252124091E-3</v>
      </c>
      <c r="F89" s="55">
        <f t="shared" ca="1" si="1"/>
        <v>0</v>
      </c>
      <c r="G89" s="21">
        <f ca="1">IFERROR(SUMIF('nres bld data'!$A$3:$A$38,B89&amp;C89,'nres bld data'!$D$3:$D$38),0)</f>
        <v>97746</v>
      </c>
      <c r="H89" s="21">
        <f t="shared" ref="H89:I89" ca="1" si="93">$T89*U89</f>
        <v>3337.049623048812</v>
      </c>
      <c r="I89" s="21">
        <f t="shared" ca="1" si="93"/>
        <v>3990.7915666062927</v>
      </c>
      <c r="J89" s="21"/>
      <c r="K89" s="21"/>
      <c r="S89" s="115"/>
      <c r="T89" s="22">
        <f ca="1">G89/SUMIF('nres bld data'!$B$3:$B$38,$B89,'nres bld data'!$D$3:$D$38)</f>
        <v>3.2899484411165669E-3</v>
      </c>
      <c r="U89" s="21">
        <f>SUMIFS('Projections by County'!$D$10:$D$36,'Projections by County'!$A$10:$A$36,$B89,'Projections by County'!$C$10:$C$36,"Electricity (kWh)",'Projections by County'!$B$10:$B$36,"Commercial")*BTU_per_kWh/1000000</f>
        <v>1014316.6930349399</v>
      </c>
      <c r="V89" s="21">
        <f>SUMIFS('Projections by County'!$D$10:$D$36,'Projections by County'!$A$10:$A$36,$B89,'Projections by County'!$C$10:$C$36,"Natural Gas",'Projections by County'!$B$10:$B$36,"Commercial")</f>
        <v>1213025.5649999999</v>
      </c>
      <c r="W89" s="116"/>
      <c r="X89" s="116">
        <f>IFERROR(SUMIF('nres bld data'!$V$3:$V$254,"="&amp;$B89&amp;$C89&amp;$D89,'nres bld data'!P$3:P$254)/SUMIF('nres bld data'!$V$3:$V$254,"="&amp;$B89&amp;$C89&amp;$D89,'nres bld data'!$T$3:$T$254),0)</f>
        <v>1</v>
      </c>
      <c r="Y89" s="116">
        <f>IFERROR(SUMIF('nres bld data'!$V$3:$V$254,"="&amp;$B89&amp;$C89&amp;$D89,'nres bld data'!Q$3:Q$254)/SUMIF('nres bld data'!$V$3:$V$254,"="&amp;$B89&amp;$C89&amp;$D89,'nres bld data'!$T$3:$T$254),0)</f>
        <v>0</v>
      </c>
      <c r="AA89" s="116">
        <f ca="1">IFERROR(SUMIF('nres bld data'!$V$3:$V$254,"="&amp;$B89&amp;$C89&amp;$D89,'nres bld data'!P$3:P$254)/SUMIF('nres bld data'!$W$256:$W$297,"="&amp;$B89&amp;$C89,'nres bld data'!P$256:P$297),0)</f>
        <v>9.7192796595514469E-2</v>
      </c>
      <c r="AB89" s="116">
        <f ca="1">IFERROR(SUMIF('nres bld data'!$V$3:$V$254,"="&amp;$B89&amp;$C89&amp;$D89,'nres bld data'!Q$3:Q$254)/SUMIF('nres bld data'!$W$256:$W$297,"="&amp;$B89&amp;$C89,'nres bld data'!Q$256:Q$297),0)</f>
        <v>0</v>
      </c>
    </row>
    <row r="90" spans="2:28">
      <c r="B90" s="20" t="s">
        <v>9</v>
      </c>
      <c r="C90" s="20" t="s">
        <v>428</v>
      </c>
      <c r="D90" s="20" t="s">
        <v>440</v>
      </c>
      <c r="E90" s="55">
        <f t="shared" ca="1" si="0"/>
        <v>3.8177840456013329E-3</v>
      </c>
      <c r="F90" s="55">
        <f t="shared" ca="1" si="1"/>
        <v>0</v>
      </c>
      <c r="G90" s="21">
        <f ca="1">IFERROR(SUMIF('nres bld data'!$A$3:$A$38,B90&amp;C90,'nres bld data'!$D$3:$D$38),0)</f>
        <v>97746</v>
      </c>
      <c r="H90" s="21">
        <f t="shared" ref="H90:I90" ca="1" si="94">$T90*U90</f>
        <v>3337.049623048812</v>
      </c>
      <c r="I90" s="21">
        <f t="shared" ca="1" si="94"/>
        <v>3990.7915666062927</v>
      </c>
      <c r="J90" s="21"/>
      <c r="K90" s="21"/>
      <c r="S90" s="115"/>
      <c r="T90" s="22">
        <f ca="1">G90/SUMIF('nres bld data'!$B$3:$B$38,$B90,'nres bld data'!$D$3:$D$38)</f>
        <v>3.2899484411165669E-3</v>
      </c>
      <c r="U90" s="21">
        <f>SUMIFS('Projections by County'!$D$10:$D$36,'Projections by County'!$A$10:$A$36,$B90,'Projections by County'!$C$10:$C$36,"Electricity (kWh)",'Projections by County'!$B$10:$B$36,"Commercial")*BTU_per_kWh/1000000</f>
        <v>1014316.6930349399</v>
      </c>
      <c r="V90" s="21">
        <f>SUMIFS('Projections by County'!$D$10:$D$36,'Projections by County'!$A$10:$A$36,$B90,'Projections by County'!$C$10:$C$36,"Natural Gas",'Projections by County'!$B$10:$B$36,"Commercial")</f>
        <v>1213025.5649999999</v>
      </c>
      <c r="W90" s="116"/>
      <c r="X90" s="116">
        <f>IFERROR(SUMIF('nres bld data'!$V$3:$V$254,"="&amp;$B90&amp;$C90&amp;$D90,'nres bld data'!P$3:P$254)/SUMIF('nres bld data'!$V$3:$V$254,"="&amp;$B90&amp;$C90&amp;$D90,'nres bld data'!$T$3:$T$254),0)</f>
        <v>1</v>
      </c>
      <c r="Y90" s="116">
        <f>IFERROR(SUMIF('nres bld data'!$V$3:$V$254,"="&amp;$B90&amp;$C90&amp;$D90,'nres bld data'!Q$3:Q$254)/SUMIF('nres bld data'!$V$3:$V$254,"="&amp;$B90&amp;$C90&amp;$D90,'nres bld data'!$T$3:$T$254),0)</f>
        <v>0</v>
      </c>
      <c r="AA90" s="116">
        <f ca="1">IFERROR(SUMIF('nres bld data'!$V$3:$V$254,"="&amp;$B90&amp;$C90&amp;$D90,'nres bld data'!P$3:P$254)/SUMIF('nres bld data'!$W$256:$W$297,"="&amp;$B90&amp;$C90,'nres bld data'!P$256:P$297),0)</f>
        <v>0.11182726104636334</v>
      </c>
      <c r="AB90" s="116">
        <f ca="1">IFERROR(SUMIF('nres bld data'!$V$3:$V$254,"="&amp;$B90&amp;$C90&amp;$D90,'nres bld data'!Q$3:Q$254)/SUMIF('nres bld data'!$W$256:$W$297,"="&amp;$B90&amp;$C90,'nres bld data'!Q$256:Q$297),0)</f>
        <v>0</v>
      </c>
    </row>
    <row r="91" spans="2:28">
      <c r="B91" s="20" t="s">
        <v>9</v>
      </c>
      <c r="C91" s="20" t="s">
        <v>428</v>
      </c>
      <c r="D91" s="20" t="s">
        <v>443</v>
      </c>
      <c r="E91" s="55">
        <f t="shared" ca="1" si="0"/>
        <v>3.8833305224347842E-3</v>
      </c>
      <c r="F91" s="55">
        <f t="shared" ca="1" si="1"/>
        <v>1.0007899595705194E-2</v>
      </c>
      <c r="G91" s="21">
        <f ca="1">IFERROR(SUMIF('nres bld data'!$A$3:$A$38,B91&amp;C91,'nres bld data'!$D$3:$D$38),0)</f>
        <v>97746</v>
      </c>
      <c r="H91" s="21">
        <f t="shared" ref="H91:I91" ca="1" si="95">$T91*U91</f>
        <v>3337.049623048812</v>
      </c>
      <c r="I91" s="21">
        <f t="shared" ca="1" si="95"/>
        <v>3990.7915666062927</v>
      </c>
      <c r="J91" s="21"/>
      <c r="K91" s="21"/>
      <c r="S91" s="115"/>
      <c r="T91" s="22">
        <f ca="1">G91/SUMIF('nres bld data'!$B$3:$B$38,$B91,'nres bld data'!$D$3:$D$38)</f>
        <v>3.2899484411165669E-3</v>
      </c>
      <c r="U91" s="21">
        <f>SUMIFS('Projections by County'!$D$10:$D$36,'Projections by County'!$A$10:$A$36,$B91,'Projections by County'!$C$10:$C$36,"Electricity (kWh)",'Projections by County'!$B$10:$B$36,"Commercial")*BTU_per_kWh/1000000</f>
        <v>1014316.6930349399</v>
      </c>
      <c r="V91" s="21">
        <f>SUMIFS('Projections by County'!$D$10:$D$36,'Projections by County'!$A$10:$A$36,$B91,'Projections by County'!$C$10:$C$36,"Natural Gas",'Projections by County'!$B$10:$B$36,"Commercial")</f>
        <v>1213025.5649999999</v>
      </c>
      <c r="W91" s="116"/>
      <c r="X91" s="116">
        <f>IFERROR(SUMIF('nres bld data'!$V$3:$V$254,"="&amp;$B91&amp;$C91&amp;$D91,'nres bld data'!P$3:P$254)/SUMIF('nres bld data'!$V$3:$V$254,"="&amp;$B91&amp;$C91&amp;$D91,'nres bld data'!$T$3:$T$254),0)</f>
        <v>0.27092918030269891</v>
      </c>
      <c r="Y91" s="116">
        <f>IFERROR(SUMIF('nres bld data'!$V$3:$V$254,"="&amp;$B91&amp;$C91&amp;$D91,'nres bld data'!Q$3:Q$254)/SUMIF('nres bld data'!$V$3:$V$254,"="&amp;$B91&amp;$C91&amp;$D91,'nres bld data'!$T$3:$T$254),0)</f>
        <v>0.72907081969730103</v>
      </c>
      <c r="AA91" s="116">
        <f ca="1">IFERROR(SUMIF('nres bld data'!$V$3:$V$254,"="&amp;$B91&amp;$C91&amp;$D91,'nres bld data'!P$3:P$254)/SUMIF('nres bld data'!$W$256:$W$297,"="&amp;$B91&amp;$C91,'nres bld data'!P$256:P$297),0)</f>
        <v>0.11374719231748091</v>
      </c>
      <c r="AB91" s="116">
        <f ca="1">IFERROR(SUMIF('nres bld data'!$V$3:$V$254,"="&amp;$B91&amp;$C91&amp;$D91,'nres bld data'!Q$3:Q$254)/SUMIF('nres bld data'!$W$256:$W$297,"="&amp;$B91&amp;$C91,'nres bld data'!Q$256:Q$297),0)</f>
        <v>0.24512233664803329</v>
      </c>
    </row>
    <row r="92" spans="2:28">
      <c r="B92" s="20" t="s">
        <v>9</v>
      </c>
      <c r="C92" s="20" t="s">
        <v>428</v>
      </c>
      <c r="D92" s="20" t="s">
        <v>445</v>
      </c>
      <c r="E92" s="55">
        <f t="shared" ca="1" si="0"/>
        <v>6.2978064674181983E-3</v>
      </c>
      <c r="F92" s="55">
        <f t="shared" ca="1" si="1"/>
        <v>9.0157771078459882E-3</v>
      </c>
      <c r="G92" s="21">
        <f ca="1">IFERROR(SUMIF('nres bld data'!$A$3:$A$38,B92&amp;C92,'nres bld data'!$D$3:$D$38),0)</f>
        <v>97746</v>
      </c>
      <c r="H92" s="21">
        <f t="shared" ref="H92:I92" ca="1" si="96">$T92*U92</f>
        <v>3337.049623048812</v>
      </c>
      <c r="I92" s="21">
        <f t="shared" ca="1" si="96"/>
        <v>3990.7915666062927</v>
      </c>
      <c r="J92" s="21"/>
      <c r="K92" s="21"/>
      <c r="S92" s="115"/>
      <c r="T92" s="22">
        <f ca="1">G92/SUMIF('nres bld data'!$B$3:$B$38,$B92,'nres bld data'!$D$3:$D$38)</f>
        <v>3.2899484411165669E-3</v>
      </c>
      <c r="U92" s="21">
        <f>SUMIFS('Projections by County'!$D$10:$D$36,'Projections by County'!$A$10:$A$36,$B92,'Projections by County'!$C$10:$C$36,"Electricity (kWh)",'Projections by County'!$B$10:$B$36,"Commercial")*BTU_per_kWh/1000000</f>
        <v>1014316.6930349399</v>
      </c>
      <c r="V92" s="21">
        <f>SUMIFS('Projections by County'!$D$10:$D$36,'Projections by County'!$A$10:$A$36,$B92,'Projections by County'!$C$10:$C$36,"Natural Gas",'Projections by County'!$B$10:$B$36,"Commercial")</f>
        <v>1213025.5649999999</v>
      </c>
      <c r="W92" s="116"/>
      <c r="X92" s="116">
        <f>IFERROR(SUMIF('nres bld data'!$V$3:$V$254,"="&amp;$B92&amp;$C92&amp;$D92,'nres bld data'!P$3:P$254)/SUMIF('nres bld data'!$V$3:$V$254,"="&amp;$B92&amp;$C92&amp;$D92,'nres bld data'!$T$3:$T$254),0)</f>
        <v>0.40083035167795728</v>
      </c>
      <c r="Y92" s="116">
        <f>IFERROR(SUMIF('nres bld data'!$V$3:$V$254,"="&amp;$B92&amp;$C92&amp;$D92,'nres bld data'!Q$3:Q$254)/SUMIF('nres bld data'!$V$3:$V$254,"="&amp;$B92&amp;$C92&amp;$D92,'nres bld data'!$T$3:$T$254),0)</f>
        <v>0.59916964832204267</v>
      </c>
      <c r="AA92" s="116">
        <f ca="1">IFERROR(SUMIF('nres bld data'!$V$3:$V$254,"="&amp;$B92&amp;$C92&amp;$D92,'nres bld data'!P$3:P$254)/SUMIF('nres bld data'!$W$256:$W$297,"="&amp;$B92&amp;$C92,'nres bld data'!P$256:P$297),0)</f>
        <v>0.18446995415124964</v>
      </c>
      <c r="AB92" s="116">
        <f ca="1">IFERROR(SUMIF('nres bld data'!$V$3:$V$254,"="&amp;$B92&amp;$C92&amp;$D92,'nres bld data'!Q$3:Q$254)/SUMIF('nres bld data'!$W$256:$W$297,"="&amp;$B92&amp;$C92,'nres bld data'!Q$256:Q$297),0)</f>
        <v>0.22082239437348528</v>
      </c>
    </row>
    <row r="93" spans="2:28">
      <c r="B93" s="20" t="s">
        <v>9</v>
      </c>
      <c r="C93" s="20" t="s">
        <v>449</v>
      </c>
      <c r="D93" s="20" t="s">
        <v>429</v>
      </c>
      <c r="E93" s="55">
        <f t="shared" ca="1" si="0"/>
        <v>0</v>
      </c>
      <c r="F93" s="55">
        <f t="shared" ca="1" si="1"/>
        <v>0</v>
      </c>
      <c r="G93" s="21">
        <f>IFERROR(SUMIF('nres bld data'!$A$3:$A$38,B93&amp;C93,'nres bld data'!$D$3:$D$38),0)</f>
        <v>0</v>
      </c>
      <c r="H93" s="21">
        <f t="shared" ref="H93:I93" ca="1" si="97">$T93*U93</f>
        <v>0</v>
      </c>
      <c r="I93" s="21">
        <f t="shared" ca="1" si="97"/>
        <v>0</v>
      </c>
      <c r="J93" s="21"/>
      <c r="K93" s="21"/>
      <c r="S93" s="115"/>
      <c r="T93" s="22">
        <f ca="1">G93/SUMIF('nres bld data'!$B$3:$B$38,$B93,'nres bld data'!$D$3:$D$38)</f>
        <v>0</v>
      </c>
      <c r="U93" s="21">
        <f>SUMIFS('Projections by County'!$D$10:$D$36,'Projections by County'!$A$10:$A$36,$B93,'Projections by County'!$C$10:$C$36,"Electricity (kWh)",'Projections by County'!$B$10:$B$36,"Commercial")*BTU_per_kWh/1000000</f>
        <v>1014316.6930349399</v>
      </c>
      <c r="V93" s="21">
        <f>SUMIFS('Projections by County'!$D$10:$D$36,'Projections by County'!$A$10:$A$36,$B93,'Projections by County'!$C$10:$C$36,"Natural Gas",'Projections by County'!$B$10:$B$36,"Commercial")</f>
        <v>1213025.5649999999</v>
      </c>
      <c r="W93" s="116"/>
      <c r="X93" s="116">
        <f>IFERROR(SUMIF('nres bld data'!$V$3:$V$254,"="&amp;$B93&amp;$C93&amp;$D93,'nres bld data'!P$3:P$254)/SUMIF('nres bld data'!$V$3:$V$254,"="&amp;$B93&amp;$C93&amp;$D93,'nres bld data'!$T$3:$T$254),0)</f>
        <v>0</v>
      </c>
      <c r="Y93" s="116">
        <f>IFERROR(SUMIF('nres bld data'!$V$3:$V$254,"="&amp;$B93&amp;$C93&amp;$D93,'nres bld data'!Q$3:Q$254)/SUMIF('nres bld data'!$V$3:$V$254,"="&amp;$B93&amp;$C93&amp;$D93,'nres bld data'!$T$3:$T$254),0)</f>
        <v>0</v>
      </c>
      <c r="AA93" s="116">
        <f ca="1">IFERROR(SUMIF('nres bld data'!$V$3:$V$254,"="&amp;$B93&amp;$C93&amp;$D93,'nres bld data'!P$3:P$254)/SUMIF('nres bld data'!$W$256:$W$297,"="&amp;$B93&amp;$C93,'nres bld data'!P$256:P$297),0)</f>
        <v>0</v>
      </c>
      <c r="AB93" s="116">
        <f ca="1">IFERROR(SUMIF('nres bld data'!$V$3:$V$254,"="&amp;$B93&amp;$C93&amp;$D93,'nres bld data'!Q$3:Q$254)/SUMIF('nres bld data'!$W$256:$W$297,"="&amp;$B93&amp;$C93,'nres bld data'!Q$256:Q$297),0)</f>
        <v>0</v>
      </c>
    </row>
    <row r="94" spans="2:28">
      <c r="B94" s="20" t="s">
        <v>9</v>
      </c>
      <c r="C94" s="20" t="s">
        <v>449</v>
      </c>
      <c r="D94" s="20" t="s">
        <v>433</v>
      </c>
      <c r="E94" s="55">
        <f t="shared" ca="1" si="0"/>
        <v>0</v>
      </c>
      <c r="F94" s="55">
        <f t="shared" ca="1" si="1"/>
        <v>0</v>
      </c>
      <c r="G94" s="21">
        <f>IFERROR(SUMIF('nres bld data'!$A$3:$A$38,B94&amp;C94,'nres bld data'!$D$3:$D$38),0)</f>
        <v>0</v>
      </c>
      <c r="H94" s="21">
        <f t="shared" ref="H94:I94" ca="1" si="98">$T94*U94</f>
        <v>0</v>
      </c>
      <c r="I94" s="21">
        <f t="shared" ca="1" si="98"/>
        <v>0</v>
      </c>
      <c r="J94" s="21"/>
      <c r="K94" s="21"/>
      <c r="S94" s="115"/>
      <c r="T94" s="22">
        <f ca="1">G94/SUMIF('nres bld data'!$B$3:$B$38,$B94,'nres bld data'!$D$3:$D$38)</f>
        <v>0</v>
      </c>
      <c r="U94" s="21">
        <f>SUMIFS('Projections by County'!$D$10:$D$36,'Projections by County'!$A$10:$A$36,$B94,'Projections by County'!$C$10:$C$36,"Electricity (kWh)",'Projections by County'!$B$10:$B$36,"Commercial")*BTU_per_kWh/1000000</f>
        <v>1014316.6930349399</v>
      </c>
      <c r="V94" s="21">
        <f>SUMIFS('Projections by County'!$D$10:$D$36,'Projections by County'!$A$10:$A$36,$B94,'Projections by County'!$C$10:$C$36,"Natural Gas",'Projections by County'!$B$10:$B$36,"Commercial")</f>
        <v>1213025.5649999999</v>
      </c>
      <c r="W94" s="116"/>
      <c r="X94" s="116">
        <f>IFERROR(SUMIF('nres bld data'!$V$3:$V$254,"="&amp;$B94&amp;$C94&amp;$D94,'nres bld data'!P$3:P$254)/SUMIF('nres bld data'!$V$3:$V$254,"="&amp;$B94&amp;$C94&amp;$D94,'nres bld data'!$T$3:$T$254),0)</f>
        <v>0</v>
      </c>
      <c r="Y94" s="116">
        <f>IFERROR(SUMIF('nres bld data'!$V$3:$V$254,"="&amp;$B94&amp;$C94&amp;$D94,'nres bld data'!Q$3:Q$254)/SUMIF('nres bld data'!$V$3:$V$254,"="&amp;$B94&amp;$C94&amp;$D94,'nres bld data'!$T$3:$T$254),0)</f>
        <v>0</v>
      </c>
      <c r="AA94" s="116">
        <f ca="1">IFERROR(SUMIF('nres bld data'!$V$3:$V$254,"="&amp;$B94&amp;$C94&amp;$D94,'nres bld data'!P$3:P$254)/SUMIF('nres bld data'!$W$256:$W$297,"="&amp;$B94&amp;$C94,'nres bld data'!P$256:P$297),0)</f>
        <v>0</v>
      </c>
      <c r="AB94" s="116">
        <f ca="1">IFERROR(SUMIF('nres bld data'!$V$3:$V$254,"="&amp;$B94&amp;$C94&amp;$D94,'nres bld data'!Q$3:Q$254)/SUMIF('nres bld data'!$W$256:$W$297,"="&amp;$B94&amp;$C94,'nres bld data'!Q$256:Q$297),0)</f>
        <v>0</v>
      </c>
    </row>
    <row r="95" spans="2:28">
      <c r="B95" s="20" t="s">
        <v>9</v>
      </c>
      <c r="C95" s="20" t="s">
        <v>449</v>
      </c>
      <c r="D95" s="20" t="s">
        <v>437</v>
      </c>
      <c r="E95" s="55">
        <f t="shared" ca="1" si="0"/>
        <v>0</v>
      </c>
      <c r="F95" s="55">
        <f t="shared" ca="1" si="1"/>
        <v>0</v>
      </c>
      <c r="G95" s="21">
        <f>IFERROR(SUMIF('nres bld data'!$A$3:$A$38,B95&amp;C95,'nres bld data'!$D$3:$D$38),0)</f>
        <v>0</v>
      </c>
      <c r="H95" s="21">
        <f t="shared" ref="H95:I95" ca="1" si="99">$T95*U95</f>
        <v>0</v>
      </c>
      <c r="I95" s="21">
        <f t="shared" ca="1" si="99"/>
        <v>0</v>
      </c>
      <c r="J95" s="21"/>
      <c r="K95" s="21"/>
      <c r="S95" s="115"/>
      <c r="T95" s="22">
        <f ca="1">G95/SUMIF('nres bld data'!$B$3:$B$38,$B95,'nres bld data'!$D$3:$D$38)</f>
        <v>0</v>
      </c>
      <c r="U95" s="21">
        <f>SUMIFS('Projections by County'!$D$10:$D$36,'Projections by County'!$A$10:$A$36,$B95,'Projections by County'!$C$10:$C$36,"Electricity (kWh)",'Projections by County'!$B$10:$B$36,"Commercial")*BTU_per_kWh/1000000</f>
        <v>1014316.6930349399</v>
      </c>
      <c r="V95" s="21">
        <f>SUMIFS('Projections by County'!$D$10:$D$36,'Projections by County'!$A$10:$A$36,$B95,'Projections by County'!$C$10:$C$36,"Natural Gas",'Projections by County'!$B$10:$B$36,"Commercial")</f>
        <v>1213025.5649999999</v>
      </c>
      <c r="W95" s="116"/>
      <c r="X95" s="116">
        <f>IFERROR(SUMIF('nres bld data'!$V$3:$V$254,"="&amp;$B95&amp;$C95&amp;$D95,'nres bld data'!P$3:P$254)/SUMIF('nres bld data'!$V$3:$V$254,"="&amp;$B95&amp;$C95&amp;$D95,'nres bld data'!$T$3:$T$254),0)</f>
        <v>0</v>
      </c>
      <c r="Y95" s="116">
        <f>IFERROR(SUMIF('nres bld data'!$V$3:$V$254,"="&amp;$B95&amp;$C95&amp;$D95,'nres bld data'!Q$3:Q$254)/SUMIF('nres bld data'!$V$3:$V$254,"="&amp;$B95&amp;$C95&amp;$D95,'nres bld data'!$T$3:$T$254),0)</f>
        <v>0</v>
      </c>
      <c r="AA95" s="116">
        <f ca="1">IFERROR(SUMIF('nres bld data'!$V$3:$V$254,"="&amp;$B95&amp;$C95&amp;$D95,'nres bld data'!P$3:P$254)/SUMIF('nres bld data'!$W$256:$W$297,"="&amp;$B95&amp;$C95,'nres bld data'!P$256:P$297),0)</f>
        <v>0</v>
      </c>
      <c r="AB95" s="116">
        <f ca="1">IFERROR(SUMIF('nres bld data'!$V$3:$V$254,"="&amp;$B95&amp;$C95&amp;$D95,'nres bld data'!Q$3:Q$254)/SUMIF('nres bld data'!$W$256:$W$297,"="&amp;$B95&amp;$C95,'nres bld data'!Q$256:Q$297),0)</f>
        <v>0</v>
      </c>
    </row>
    <row r="96" spans="2:28">
      <c r="B96" s="20" t="s">
        <v>9</v>
      </c>
      <c r="C96" s="20" t="s">
        <v>449</v>
      </c>
      <c r="D96" s="20" t="s">
        <v>440</v>
      </c>
      <c r="E96" s="55">
        <f t="shared" ca="1" si="0"/>
        <v>0</v>
      </c>
      <c r="F96" s="55">
        <f t="shared" ca="1" si="1"/>
        <v>0</v>
      </c>
      <c r="G96" s="21">
        <f>IFERROR(SUMIF('nres bld data'!$A$3:$A$38,B96&amp;C96,'nres bld data'!$D$3:$D$38),0)</f>
        <v>0</v>
      </c>
      <c r="H96" s="21">
        <f t="shared" ref="H96:I96" ca="1" si="100">$T96*U96</f>
        <v>0</v>
      </c>
      <c r="I96" s="21">
        <f t="shared" ca="1" si="100"/>
        <v>0</v>
      </c>
      <c r="J96" s="21"/>
      <c r="K96" s="21"/>
      <c r="S96" s="115"/>
      <c r="T96" s="22">
        <f ca="1">G96/SUMIF('nres bld data'!$B$3:$B$38,$B96,'nres bld data'!$D$3:$D$38)</f>
        <v>0</v>
      </c>
      <c r="U96" s="21">
        <f>SUMIFS('Projections by County'!$D$10:$D$36,'Projections by County'!$A$10:$A$36,$B96,'Projections by County'!$C$10:$C$36,"Electricity (kWh)",'Projections by County'!$B$10:$B$36,"Commercial")*BTU_per_kWh/1000000</f>
        <v>1014316.6930349399</v>
      </c>
      <c r="V96" s="21">
        <f>SUMIFS('Projections by County'!$D$10:$D$36,'Projections by County'!$A$10:$A$36,$B96,'Projections by County'!$C$10:$C$36,"Natural Gas",'Projections by County'!$B$10:$B$36,"Commercial")</f>
        <v>1213025.5649999999</v>
      </c>
      <c r="W96" s="116"/>
      <c r="X96" s="116">
        <f>IFERROR(SUMIF('nres bld data'!$V$3:$V$254,"="&amp;$B96&amp;$C96&amp;$D96,'nres bld data'!P$3:P$254)/SUMIF('nres bld data'!$V$3:$V$254,"="&amp;$B96&amp;$C96&amp;$D96,'nres bld data'!$T$3:$T$254),0)</f>
        <v>0</v>
      </c>
      <c r="Y96" s="116">
        <f>IFERROR(SUMIF('nres bld data'!$V$3:$V$254,"="&amp;$B96&amp;$C96&amp;$D96,'nres bld data'!Q$3:Q$254)/SUMIF('nres bld data'!$V$3:$V$254,"="&amp;$B96&amp;$C96&amp;$D96,'nres bld data'!$T$3:$T$254),0)</f>
        <v>0</v>
      </c>
      <c r="AA96" s="116">
        <f ca="1">IFERROR(SUMIF('nres bld data'!$V$3:$V$254,"="&amp;$B96&amp;$C96&amp;$D96,'nres bld data'!P$3:P$254)/SUMIF('nres bld data'!$W$256:$W$297,"="&amp;$B96&amp;$C96,'nres bld data'!P$256:P$297),0)</f>
        <v>0</v>
      </c>
      <c r="AB96" s="116">
        <f ca="1">IFERROR(SUMIF('nres bld data'!$V$3:$V$254,"="&amp;$B96&amp;$C96&amp;$D96,'nres bld data'!Q$3:Q$254)/SUMIF('nres bld data'!$W$256:$W$297,"="&amp;$B96&amp;$C96,'nres bld data'!Q$256:Q$297),0)</f>
        <v>0</v>
      </c>
    </row>
    <row r="97" spans="2:28">
      <c r="B97" s="20" t="s">
        <v>9</v>
      </c>
      <c r="C97" s="20" t="s">
        <v>449</v>
      </c>
      <c r="D97" s="20" t="s">
        <v>443</v>
      </c>
      <c r="E97" s="55">
        <f t="shared" ca="1" si="0"/>
        <v>0</v>
      </c>
      <c r="F97" s="55">
        <f t="shared" ca="1" si="1"/>
        <v>0</v>
      </c>
      <c r="G97" s="21">
        <f>IFERROR(SUMIF('nres bld data'!$A$3:$A$38,B97&amp;C97,'nres bld data'!$D$3:$D$38),0)</f>
        <v>0</v>
      </c>
      <c r="H97" s="21">
        <f t="shared" ref="H97:I97" ca="1" si="101">$T97*U97</f>
        <v>0</v>
      </c>
      <c r="I97" s="21">
        <f t="shared" ca="1" si="101"/>
        <v>0</v>
      </c>
      <c r="J97" s="21"/>
      <c r="K97" s="21"/>
      <c r="S97" s="115"/>
      <c r="T97" s="22">
        <f ca="1">G97/SUMIF('nres bld data'!$B$3:$B$38,$B97,'nres bld data'!$D$3:$D$38)</f>
        <v>0</v>
      </c>
      <c r="U97" s="21">
        <f>SUMIFS('Projections by County'!$D$10:$D$36,'Projections by County'!$A$10:$A$36,$B97,'Projections by County'!$C$10:$C$36,"Electricity (kWh)",'Projections by County'!$B$10:$B$36,"Commercial")*BTU_per_kWh/1000000</f>
        <v>1014316.6930349399</v>
      </c>
      <c r="V97" s="21">
        <f>SUMIFS('Projections by County'!$D$10:$D$36,'Projections by County'!$A$10:$A$36,$B97,'Projections by County'!$C$10:$C$36,"Natural Gas",'Projections by County'!$B$10:$B$36,"Commercial")</f>
        <v>1213025.5649999999</v>
      </c>
      <c r="W97" s="116"/>
      <c r="X97" s="116">
        <f>IFERROR(SUMIF('nres bld data'!$V$3:$V$254,"="&amp;$B97&amp;$C97&amp;$D97,'nres bld data'!P$3:P$254)/SUMIF('nres bld data'!$V$3:$V$254,"="&amp;$B97&amp;$C97&amp;$D97,'nres bld data'!$T$3:$T$254),0)</f>
        <v>0</v>
      </c>
      <c r="Y97" s="116">
        <f>IFERROR(SUMIF('nres bld data'!$V$3:$V$254,"="&amp;$B97&amp;$C97&amp;$D97,'nres bld data'!Q$3:Q$254)/SUMIF('nres bld data'!$V$3:$V$254,"="&amp;$B97&amp;$C97&amp;$D97,'nres bld data'!$T$3:$T$254),0)</f>
        <v>0</v>
      </c>
      <c r="AA97" s="116">
        <f ca="1">IFERROR(SUMIF('nres bld data'!$V$3:$V$254,"="&amp;$B97&amp;$C97&amp;$D97,'nres bld data'!P$3:P$254)/SUMIF('nres bld data'!$W$256:$W$297,"="&amp;$B97&amp;$C97,'nres bld data'!P$256:P$297),0)</f>
        <v>0</v>
      </c>
      <c r="AB97" s="116">
        <f ca="1">IFERROR(SUMIF('nres bld data'!$V$3:$V$254,"="&amp;$B97&amp;$C97&amp;$D97,'nres bld data'!Q$3:Q$254)/SUMIF('nres bld data'!$W$256:$W$297,"="&amp;$B97&amp;$C97,'nres bld data'!Q$256:Q$297),0)</f>
        <v>0</v>
      </c>
    </row>
    <row r="98" spans="2:28">
      <c r="B98" s="20" t="s">
        <v>9</v>
      </c>
      <c r="C98" s="20" t="s">
        <v>449</v>
      </c>
      <c r="D98" s="20" t="s">
        <v>445</v>
      </c>
      <c r="E98" s="55">
        <f t="shared" ca="1" si="0"/>
        <v>0</v>
      </c>
      <c r="F98" s="55">
        <f t="shared" ca="1" si="1"/>
        <v>0</v>
      </c>
      <c r="G98" s="21">
        <f>IFERROR(SUMIF('nres bld data'!$A$3:$A$38,B98&amp;C98,'nres bld data'!$D$3:$D$38),0)</f>
        <v>0</v>
      </c>
      <c r="H98" s="21">
        <f t="shared" ref="H98:I98" ca="1" si="102">$T98*U98</f>
        <v>0</v>
      </c>
      <c r="I98" s="21">
        <f t="shared" ca="1" si="102"/>
        <v>0</v>
      </c>
      <c r="J98" s="21"/>
      <c r="K98" s="21"/>
      <c r="S98" s="115"/>
      <c r="T98" s="22">
        <f ca="1">G98/SUMIF('nres bld data'!$B$3:$B$38,$B98,'nres bld data'!$D$3:$D$38)</f>
        <v>0</v>
      </c>
      <c r="U98" s="21">
        <f>SUMIFS('Projections by County'!$D$10:$D$36,'Projections by County'!$A$10:$A$36,$B98,'Projections by County'!$C$10:$C$36,"Electricity (kWh)",'Projections by County'!$B$10:$B$36,"Commercial")*BTU_per_kWh/1000000</f>
        <v>1014316.6930349399</v>
      </c>
      <c r="V98" s="21">
        <f>SUMIFS('Projections by County'!$D$10:$D$36,'Projections by County'!$A$10:$A$36,$B98,'Projections by County'!$C$10:$C$36,"Natural Gas",'Projections by County'!$B$10:$B$36,"Commercial")</f>
        <v>1213025.5649999999</v>
      </c>
      <c r="W98" s="116"/>
      <c r="X98" s="116">
        <f>IFERROR(SUMIF('nres bld data'!$V$3:$V$254,"="&amp;$B98&amp;$C98&amp;$D98,'nres bld data'!P$3:P$254)/SUMIF('nres bld data'!$V$3:$V$254,"="&amp;$B98&amp;$C98&amp;$D98,'nres bld data'!$T$3:$T$254),0)</f>
        <v>0</v>
      </c>
      <c r="Y98" s="116">
        <f>IFERROR(SUMIF('nres bld data'!$V$3:$V$254,"="&amp;$B98&amp;$C98&amp;$D98,'nres bld data'!Q$3:Q$254)/SUMIF('nres bld data'!$V$3:$V$254,"="&amp;$B98&amp;$C98&amp;$D98,'nres bld data'!$T$3:$T$254),0)</f>
        <v>0</v>
      </c>
      <c r="AA98" s="116">
        <f ca="1">IFERROR(SUMIF('nres bld data'!$V$3:$V$254,"="&amp;$B98&amp;$C98&amp;$D98,'nres bld data'!P$3:P$254)/SUMIF('nres bld data'!$W$256:$W$297,"="&amp;$B98&amp;$C98,'nres bld data'!P$256:P$297),0)</f>
        <v>0</v>
      </c>
      <c r="AB98" s="116">
        <f ca="1">IFERROR(SUMIF('nres bld data'!$V$3:$V$254,"="&amp;$B98&amp;$C98&amp;$D98,'nres bld data'!Q$3:Q$254)/SUMIF('nres bld data'!$W$256:$W$297,"="&amp;$B98&amp;$C98,'nres bld data'!Q$256:Q$297),0)</f>
        <v>0</v>
      </c>
    </row>
    <row r="99" spans="2:28">
      <c r="B99" s="20" t="s">
        <v>9</v>
      </c>
      <c r="C99" s="20" t="s">
        <v>458</v>
      </c>
      <c r="D99" s="20" t="s">
        <v>429</v>
      </c>
      <c r="E99" s="55">
        <f t="shared" ca="1" si="0"/>
        <v>0</v>
      </c>
      <c r="F99" s="55">
        <f t="shared" ca="1" si="1"/>
        <v>0</v>
      </c>
      <c r="G99" s="21">
        <f>IFERROR(SUMIF('nres bld data'!$A$3:$A$38,B99&amp;C99,'nres bld data'!$D$3:$D$38),0)</f>
        <v>0</v>
      </c>
      <c r="H99" s="21">
        <f t="shared" ref="H99:I99" ca="1" si="103">$T99*U99</f>
        <v>0</v>
      </c>
      <c r="I99" s="21">
        <f t="shared" ca="1" si="103"/>
        <v>0</v>
      </c>
      <c r="J99" s="21"/>
      <c r="K99" s="21"/>
      <c r="S99" s="115"/>
      <c r="T99" s="22">
        <f ca="1">G99/SUMIF('nres bld data'!$B$3:$B$38,$B99,'nres bld data'!$D$3:$D$38)</f>
        <v>0</v>
      </c>
      <c r="U99" s="21">
        <f>SUMIFS('Projections by County'!$D$10:$D$36,'Projections by County'!$A$10:$A$36,$B99,'Projections by County'!$C$10:$C$36,"Electricity (kWh)",'Projections by County'!$B$10:$B$36,"Commercial")*BTU_per_kWh/1000000</f>
        <v>1014316.6930349399</v>
      </c>
      <c r="V99" s="21">
        <f>SUMIFS('Projections by County'!$D$10:$D$36,'Projections by County'!$A$10:$A$36,$B99,'Projections by County'!$C$10:$C$36,"Natural Gas",'Projections by County'!$B$10:$B$36,"Commercial")</f>
        <v>1213025.5649999999</v>
      </c>
      <c r="W99" s="116"/>
      <c r="X99" s="116">
        <f>IFERROR(SUMIF('nres bld data'!$V$3:$V$254,"="&amp;$B99&amp;$C99&amp;$D99,'nres bld data'!P$3:P$254)/SUMIF('nres bld data'!$V$3:$V$254,"="&amp;$B99&amp;$C99&amp;$D99,'nres bld data'!$T$3:$T$254),0)</f>
        <v>0</v>
      </c>
      <c r="Y99" s="116">
        <f>IFERROR(SUMIF('nres bld data'!$V$3:$V$254,"="&amp;$B99&amp;$C99&amp;$D99,'nres bld data'!Q$3:Q$254)/SUMIF('nres bld data'!$V$3:$V$254,"="&amp;$B99&amp;$C99&amp;$D99,'nres bld data'!$T$3:$T$254),0)</f>
        <v>0</v>
      </c>
      <c r="AA99" s="116">
        <f ca="1">IFERROR(SUMIF('nres bld data'!$V$3:$V$254,"="&amp;$B99&amp;$C99&amp;$D99,'nres bld data'!P$3:P$254)/SUMIF('nres bld data'!$W$256:$W$297,"="&amp;$B99&amp;$C99,'nres bld data'!P$256:P$297),0)</f>
        <v>0</v>
      </c>
      <c r="AB99" s="116">
        <f ca="1">IFERROR(SUMIF('nres bld data'!$V$3:$V$254,"="&amp;$B99&amp;$C99&amp;$D99,'nres bld data'!Q$3:Q$254)/SUMIF('nres bld data'!$W$256:$W$297,"="&amp;$B99&amp;$C99,'nres bld data'!Q$256:Q$297),0)</f>
        <v>0</v>
      </c>
    </row>
    <row r="100" spans="2:28">
      <c r="B100" s="20" t="s">
        <v>9</v>
      </c>
      <c r="C100" s="20" t="s">
        <v>458</v>
      </c>
      <c r="D100" s="20" t="s">
        <v>433</v>
      </c>
      <c r="E100" s="55">
        <f t="shared" ca="1" si="0"/>
        <v>0</v>
      </c>
      <c r="F100" s="55">
        <f t="shared" ca="1" si="1"/>
        <v>0</v>
      </c>
      <c r="G100" s="21">
        <f>IFERROR(SUMIF('nres bld data'!$A$3:$A$38,B100&amp;C100,'nres bld data'!$D$3:$D$38),0)</f>
        <v>0</v>
      </c>
      <c r="H100" s="21">
        <f t="shared" ref="H100:I100" ca="1" si="104">$T100*U100</f>
        <v>0</v>
      </c>
      <c r="I100" s="21">
        <f t="shared" ca="1" si="104"/>
        <v>0</v>
      </c>
      <c r="J100" s="21"/>
      <c r="K100" s="21"/>
      <c r="S100" s="115"/>
      <c r="T100" s="22">
        <f ca="1">G100/SUMIF('nres bld data'!$B$3:$B$38,$B100,'nres bld data'!$D$3:$D$38)</f>
        <v>0</v>
      </c>
      <c r="U100" s="21">
        <f>SUMIFS('Projections by County'!$D$10:$D$36,'Projections by County'!$A$10:$A$36,$B100,'Projections by County'!$C$10:$C$36,"Electricity (kWh)",'Projections by County'!$B$10:$B$36,"Commercial")*BTU_per_kWh/1000000</f>
        <v>1014316.6930349399</v>
      </c>
      <c r="V100" s="21">
        <f>SUMIFS('Projections by County'!$D$10:$D$36,'Projections by County'!$A$10:$A$36,$B100,'Projections by County'!$C$10:$C$36,"Natural Gas",'Projections by County'!$B$10:$B$36,"Commercial")</f>
        <v>1213025.5649999999</v>
      </c>
      <c r="W100" s="116"/>
      <c r="X100" s="116">
        <f>IFERROR(SUMIF('nres bld data'!$V$3:$V$254,"="&amp;$B100&amp;$C100&amp;$D100,'nres bld data'!P$3:P$254)/SUMIF('nres bld data'!$V$3:$V$254,"="&amp;$B100&amp;$C100&amp;$D100,'nres bld data'!$T$3:$T$254),0)</f>
        <v>0</v>
      </c>
      <c r="Y100" s="116">
        <f>IFERROR(SUMIF('nres bld data'!$V$3:$V$254,"="&amp;$B100&amp;$C100&amp;$D100,'nres bld data'!Q$3:Q$254)/SUMIF('nres bld data'!$V$3:$V$254,"="&amp;$B100&amp;$C100&amp;$D100,'nres bld data'!$T$3:$T$254),0)</f>
        <v>0</v>
      </c>
      <c r="AA100" s="116">
        <f ca="1">IFERROR(SUMIF('nres bld data'!$V$3:$V$254,"="&amp;$B100&amp;$C100&amp;$D100,'nres bld data'!P$3:P$254)/SUMIF('nres bld data'!$W$256:$W$297,"="&amp;$B100&amp;$C100,'nres bld data'!P$256:P$297),0)</f>
        <v>0</v>
      </c>
      <c r="AB100" s="116">
        <f ca="1">IFERROR(SUMIF('nres bld data'!$V$3:$V$254,"="&amp;$B100&amp;$C100&amp;$D100,'nres bld data'!Q$3:Q$254)/SUMIF('nres bld data'!$W$256:$W$297,"="&amp;$B100&amp;$C100,'nres bld data'!Q$256:Q$297),0)</f>
        <v>0</v>
      </c>
    </row>
    <row r="101" spans="2:28">
      <c r="B101" s="20" t="s">
        <v>9</v>
      </c>
      <c r="C101" s="20" t="s">
        <v>458</v>
      </c>
      <c r="D101" s="20" t="s">
        <v>437</v>
      </c>
      <c r="E101" s="55">
        <f t="shared" ca="1" si="0"/>
        <v>0</v>
      </c>
      <c r="F101" s="55">
        <f t="shared" ca="1" si="1"/>
        <v>0</v>
      </c>
      <c r="G101" s="21">
        <f>IFERROR(SUMIF('nres bld data'!$A$3:$A$38,B101&amp;C101,'nres bld data'!$D$3:$D$38),0)</f>
        <v>0</v>
      </c>
      <c r="H101" s="21">
        <f t="shared" ref="H101:I101" ca="1" si="105">$T101*U101</f>
        <v>0</v>
      </c>
      <c r="I101" s="21">
        <f t="shared" ca="1" si="105"/>
        <v>0</v>
      </c>
      <c r="J101" s="21"/>
      <c r="K101" s="21"/>
      <c r="S101" s="115"/>
      <c r="T101" s="22">
        <f ca="1">G101/SUMIF('nres bld data'!$B$3:$B$38,$B101,'nres bld data'!$D$3:$D$38)</f>
        <v>0</v>
      </c>
      <c r="U101" s="21">
        <f>SUMIFS('Projections by County'!$D$10:$D$36,'Projections by County'!$A$10:$A$36,$B101,'Projections by County'!$C$10:$C$36,"Electricity (kWh)",'Projections by County'!$B$10:$B$36,"Commercial")*BTU_per_kWh/1000000</f>
        <v>1014316.6930349399</v>
      </c>
      <c r="V101" s="21">
        <f>SUMIFS('Projections by County'!$D$10:$D$36,'Projections by County'!$A$10:$A$36,$B101,'Projections by County'!$C$10:$C$36,"Natural Gas",'Projections by County'!$B$10:$B$36,"Commercial")</f>
        <v>1213025.5649999999</v>
      </c>
      <c r="W101" s="116"/>
      <c r="X101" s="116">
        <f>IFERROR(SUMIF('nres bld data'!$V$3:$V$254,"="&amp;$B101&amp;$C101&amp;$D101,'nres bld data'!P$3:P$254)/SUMIF('nres bld data'!$V$3:$V$254,"="&amp;$B101&amp;$C101&amp;$D101,'nres bld data'!$T$3:$T$254),0)</f>
        <v>0</v>
      </c>
      <c r="Y101" s="116">
        <f>IFERROR(SUMIF('nres bld data'!$V$3:$V$254,"="&amp;$B101&amp;$C101&amp;$D101,'nres bld data'!Q$3:Q$254)/SUMIF('nres bld data'!$V$3:$V$254,"="&amp;$B101&amp;$C101&amp;$D101,'nres bld data'!$T$3:$T$254),0)</f>
        <v>0</v>
      </c>
      <c r="AA101" s="116">
        <f ca="1">IFERROR(SUMIF('nres bld data'!$V$3:$V$254,"="&amp;$B101&amp;$C101&amp;$D101,'nres bld data'!P$3:P$254)/SUMIF('nres bld data'!$W$256:$W$297,"="&amp;$B101&amp;$C101,'nres bld data'!P$256:P$297),0)</f>
        <v>0</v>
      </c>
      <c r="AB101" s="116">
        <f ca="1">IFERROR(SUMIF('nres bld data'!$V$3:$V$254,"="&amp;$B101&amp;$C101&amp;$D101,'nres bld data'!Q$3:Q$254)/SUMIF('nres bld data'!$W$256:$W$297,"="&amp;$B101&amp;$C101,'nres bld data'!Q$256:Q$297),0)</f>
        <v>0</v>
      </c>
    </row>
    <row r="102" spans="2:28">
      <c r="B102" s="20" t="s">
        <v>9</v>
      </c>
      <c r="C102" s="20" t="s">
        <v>458</v>
      </c>
      <c r="D102" s="20" t="s">
        <v>440</v>
      </c>
      <c r="E102" s="55">
        <f t="shared" ca="1" si="0"/>
        <v>0</v>
      </c>
      <c r="F102" s="55">
        <f t="shared" ca="1" si="1"/>
        <v>0</v>
      </c>
      <c r="G102" s="21">
        <f>IFERROR(SUMIF('nres bld data'!$A$3:$A$38,B102&amp;C102,'nres bld data'!$D$3:$D$38),0)</f>
        <v>0</v>
      </c>
      <c r="H102" s="21">
        <f t="shared" ref="H102:I102" ca="1" si="106">$T102*U102</f>
        <v>0</v>
      </c>
      <c r="I102" s="21">
        <f t="shared" ca="1" si="106"/>
        <v>0</v>
      </c>
      <c r="J102" s="21"/>
      <c r="K102" s="21"/>
      <c r="S102" s="115"/>
      <c r="T102" s="22">
        <f ca="1">G102/SUMIF('nres bld data'!$B$3:$B$38,$B102,'nres bld data'!$D$3:$D$38)</f>
        <v>0</v>
      </c>
      <c r="U102" s="21">
        <f>SUMIFS('Projections by County'!$D$10:$D$36,'Projections by County'!$A$10:$A$36,$B102,'Projections by County'!$C$10:$C$36,"Electricity (kWh)",'Projections by County'!$B$10:$B$36,"Commercial")*BTU_per_kWh/1000000</f>
        <v>1014316.6930349399</v>
      </c>
      <c r="V102" s="21">
        <f>SUMIFS('Projections by County'!$D$10:$D$36,'Projections by County'!$A$10:$A$36,$B102,'Projections by County'!$C$10:$C$36,"Natural Gas",'Projections by County'!$B$10:$B$36,"Commercial")</f>
        <v>1213025.5649999999</v>
      </c>
      <c r="W102" s="116"/>
      <c r="X102" s="116">
        <f>IFERROR(SUMIF('nres bld data'!$V$3:$V$254,"="&amp;$B102&amp;$C102&amp;$D102,'nres bld data'!P$3:P$254)/SUMIF('nres bld data'!$V$3:$V$254,"="&amp;$B102&amp;$C102&amp;$D102,'nres bld data'!$T$3:$T$254),0)</f>
        <v>0</v>
      </c>
      <c r="Y102" s="116">
        <f>IFERROR(SUMIF('nres bld data'!$V$3:$V$254,"="&amp;$B102&amp;$C102&amp;$D102,'nres bld data'!Q$3:Q$254)/SUMIF('nres bld data'!$V$3:$V$254,"="&amp;$B102&amp;$C102&amp;$D102,'nres bld data'!$T$3:$T$254),0)</f>
        <v>0</v>
      </c>
      <c r="AA102" s="116">
        <f ca="1">IFERROR(SUMIF('nres bld data'!$V$3:$V$254,"="&amp;$B102&amp;$C102&amp;$D102,'nres bld data'!P$3:P$254)/SUMIF('nres bld data'!$W$256:$W$297,"="&amp;$B102&amp;$C102,'nres bld data'!P$256:P$297),0)</f>
        <v>0</v>
      </c>
      <c r="AB102" s="116">
        <f ca="1">IFERROR(SUMIF('nres bld data'!$V$3:$V$254,"="&amp;$B102&amp;$C102&amp;$D102,'nres bld data'!Q$3:Q$254)/SUMIF('nres bld data'!$W$256:$W$297,"="&amp;$B102&amp;$C102,'nres bld data'!Q$256:Q$297),0)</f>
        <v>0</v>
      </c>
    </row>
    <row r="103" spans="2:28">
      <c r="B103" s="20" t="s">
        <v>9</v>
      </c>
      <c r="C103" s="20" t="s">
        <v>458</v>
      </c>
      <c r="D103" s="20" t="s">
        <v>443</v>
      </c>
      <c r="E103" s="55">
        <f t="shared" ca="1" si="0"/>
        <v>0</v>
      </c>
      <c r="F103" s="55">
        <f t="shared" ca="1" si="1"/>
        <v>0</v>
      </c>
      <c r="G103" s="21">
        <f>IFERROR(SUMIF('nres bld data'!$A$3:$A$38,B103&amp;C103,'nres bld data'!$D$3:$D$38),0)</f>
        <v>0</v>
      </c>
      <c r="H103" s="21">
        <f t="shared" ref="H103:I103" ca="1" si="107">$T103*U103</f>
        <v>0</v>
      </c>
      <c r="I103" s="21">
        <f t="shared" ca="1" si="107"/>
        <v>0</v>
      </c>
      <c r="J103" s="21"/>
      <c r="K103" s="21"/>
      <c r="S103" s="115"/>
      <c r="T103" s="22">
        <f ca="1">G103/SUMIF('nres bld data'!$B$3:$B$38,$B103,'nres bld data'!$D$3:$D$38)</f>
        <v>0</v>
      </c>
      <c r="U103" s="21">
        <f>SUMIFS('Projections by County'!$D$10:$D$36,'Projections by County'!$A$10:$A$36,$B103,'Projections by County'!$C$10:$C$36,"Electricity (kWh)",'Projections by County'!$B$10:$B$36,"Commercial")*BTU_per_kWh/1000000</f>
        <v>1014316.6930349399</v>
      </c>
      <c r="V103" s="21">
        <f>SUMIFS('Projections by County'!$D$10:$D$36,'Projections by County'!$A$10:$A$36,$B103,'Projections by County'!$C$10:$C$36,"Natural Gas",'Projections by County'!$B$10:$B$36,"Commercial")</f>
        <v>1213025.5649999999</v>
      </c>
      <c r="W103" s="116"/>
      <c r="X103" s="116">
        <f>IFERROR(SUMIF('nres bld data'!$V$3:$V$254,"="&amp;$B103&amp;$C103&amp;$D103,'nres bld data'!P$3:P$254)/SUMIF('nres bld data'!$V$3:$V$254,"="&amp;$B103&amp;$C103&amp;$D103,'nres bld data'!$T$3:$T$254),0)</f>
        <v>0</v>
      </c>
      <c r="Y103" s="116">
        <f>IFERROR(SUMIF('nres bld data'!$V$3:$V$254,"="&amp;$B103&amp;$C103&amp;$D103,'nres bld data'!Q$3:Q$254)/SUMIF('nres bld data'!$V$3:$V$254,"="&amp;$B103&amp;$C103&amp;$D103,'nres bld data'!$T$3:$T$254),0)</f>
        <v>0</v>
      </c>
      <c r="AA103" s="116">
        <f ca="1">IFERROR(SUMIF('nres bld data'!$V$3:$V$254,"="&amp;$B103&amp;$C103&amp;$D103,'nres bld data'!P$3:P$254)/SUMIF('nres bld data'!$W$256:$W$297,"="&amp;$B103&amp;$C103,'nres bld data'!P$256:P$297),0)</f>
        <v>0</v>
      </c>
      <c r="AB103" s="116">
        <f ca="1">IFERROR(SUMIF('nres bld data'!$V$3:$V$254,"="&amp;$B103&amp;$C103&amp;$D103,'nres bld data'!Q$3:Q$254)/SUMIF('nres bld data'!$W$256:$W$297,"="&amp;$B103&amp;$C103,'nres bld data'!Q$256:Q$297),0)</f>
        <v>0</v>
      </c>
    </row>
    <row r="104" spans="2:28">
      <c r="B104" s="20" t="s">
        <v>9</v>
      </c>
      <c r="C104" s="20" t="s">
        <v>458</v>
      </c>
      <c r="D104" s="20" t="s">
        <v>445</v>
      </c>
      <c r="E104" s="55">
        <f t="shared" ca="1" si="0"/>
        <v>0</v>
      </c>
      <c r="F104" s="55">
        <f t="shared" ca="1" si="1"/>
        <v>0</v>
      </c>
      <c r="G104" s="21">
        <f>IFERROR(SUMIF('nres bld data'!$A$3:$A$38,B104&amp;C104,'nres bld data'!$D$3:$D$38),0)</f>
        <v>0</v>
      </c>
      <c r="H104" s="21">
        <f t="shared" ref="H104:I104" ca="1" si="108">$T104*U104</f>
        <v>0</v>
      </c>
      <c r="I104" s="21">
        <f t="shared" ca="1" si="108"/>
        <v>0</v>
      </c>
      <c r="J104" s="21"/>
      <c r="K104" s="21"/>
      <c r="S104" s="115"/>
      <c r="T104" s="22">
        <f ca="1">G104/SUMIF('nres bld data'!$B$3:$B$38,$B104,'nres bld data'!$D$3:$D$38)</f>
        <v>0</v>
      </c>
      <c r="U104" s="21">
        <f>SUMIFS('Projections by County'!$D$10:$D$36,'Projections by County'!$A$10:$A$36,$B104,'Projections by County'!$C$10:$C$36,"Electricity (kWh)",'Projections by County'!$B$10:$B$36,"Commercial")*BTU_per_kWh/1000000</f>
        <v>1014316.6930349399</v>
      </c>
      <c r="V104" s="21">
        <f>SUMIFS('Projections by County'!$D$10:$D$36,'Projections by County'!$A$10:$A$36,$B104,'Projections by County'!$C$10:$C$36,"Natural Gas",'Projections by County'!$B$10:$B$36,"Commercial")</f>
        <v>1213025.5649999999</v>
      </c>
      <c r="W104" s="116"/>
      <c r="X104" s="116">
        <f>IFERROR(SUMIF('nres bld data'!$V$3:$V$254,"="&amp;$B104&amp;$C104&amp;$D104,'nres bld data'!P$3:P$254)/SUMIF('nres bld data'!$V$3:$V$254,"="&amp;$B104&amp;$C104&amp;$D104,'nres bld data'!$T$3:$T$254),0)</f>
        <v>0</v>
      </c>
      <c r="Y104" s="116">
        <f>IFERROR(SUMIF('nres bld data'!$V$3:$V$254,"="&amp;$B104&amp;$C104&amp;$D104,'nres bld data'!Q$3:Q$254)/SUMIF('nres bld data'!$V$3:$V$254,"="&amp;$B104&amp;$C104&amp;$D104,'nres bld data'!$T$3:$T$254),0)</f>
        <v>0</v>
      </c>
      <c r="AA104" s="116">
        <f ca="1">IFERROR(SUMIF('nres bld data'!$V$3:$V$254,"="&amp;$B104&amp;$C104&amp;$D104,'nres bld data'!P$3:P$254)/SUMIF('nres bld data'!$W$256:$W$297,"="&amp;$B104&amp;$C104,'nres bld data'!P$256:P$297),0)</f>
        <v>0</v>
      </c>
      <c r="AB104" s="116">
        <f ca="1">IFERROR(SUMIF('nres bld data'!$V$3:$V$254,"="&amp;$B104&amp;$C104&amp;$D104,'nres bld data'!Q$3:Q$254)/SUMIF('nres bld data'!$W$256:$W$297,"="&amp;$B104&amp;$C104,'nres bld data'!Q$256:Q$297),0)</f>
        <v>0</v>
      </c>
    </row>
    <row r="105" spans="2:28">
      <c r="B105" s="20" t="s">
        <v>9</v>
      </c>
      <c r="C105" s="20" t="s">
        <v>460</v>
      </c>
      <c r="D105" s="20" t="s">
        <v>429</v>
      </c>
      <c r="E105" s="55">
        <f t="shared" ca="1" si="0"/>
        <v>0</v>
      </c>
      <c r="F105" s="55">
        <f t="shared" ca="1" si="1"/>
        <v>0</v>
      </c>
      <c r="G105" s="21">
        <f>IFERROR(SUMIF('nres bld data'!$A$3:$A$38,B105&amp;C105,'nres bld data'!$D$3:$D$38),0)</f>
        <v>0</v>
      </c>
      <c r="H105" s="21">
        <f t="shared" ref="H105:I105" ca="1" si="109">$T105*U105</f>
        <v>0</v>
      </c>
      <c r="I105" s="21">
        <f t="shared" ca="1" si="109"/>
        <v>0</v>
      </c>
      <c r="J105" s="21"/>
      <c r="K105" s="21"/>
      <c r="S105" s="115"/>
      <c r="T105" s="22">
        <f ca="1">G105/SUMIF('nres bld data'!$B$3:$B$38,$B105,'nres bld data'!$D$3:$D$38)</f>
        <v>0</v>
      </c>
      <c r="U105" s="21">
        <f>SUMIFS('Projections by County'!$D$10:$D$36,'Projections by County'!$A$10:$A$36,$B105,'Projections by County'!$C$10:$C$36,"Electricity (kWh)",'Projections by County'!$B$10:$B$36,"Commercial")*BTU_per_kWh/1000000</f>
        <v>1014316.6930349399</v>
      </c>
      <c r="V105" s="21">
        <f>SUMIFS('Projections by County'!$D$10:$D$36,'Projections by County'!$A$10:$A$36,$B105,'Projections by County'!$C$10:$C$36,"Natural Gas",'Projections by County'!$B$10:$B$36,"Commercial")</f>
        <v>1213025.5649999999</v>
      </c>
      <c r="W105" s="116"/>
      <c r="X105" s="116">
        <f>IFERROR(SUMIF('nres bld data'!$V$3:$V$254,"="&amp;$B105&amp;$C105&amp;$D105,'nres bld data'!P$3:P$254)/SUMIF('nres bld data'!$V$3:$V$254,"="&amp;$B105&amp;$C105&amp;$D105,'nres bld data'!$T$3:$T$254),0)</f>
        <v>1</v>
      </c>
      <c r="Y105" s="116">
        <f>IFERROR(SUMIF('nres bld data'!$V$3:$V$254,"="&amp;$B105&amp;$C105&amp;$D105,'nres bld data'!Q$3:Q$254)/SUMIF('nres bld data'!$V$3:$V$254,"="&amp;$B105&amp;$C105&amp;$D105,'nres bld data'!$T$3:$T$254),0)</f>
        <v>0</v>
      </c>
      <c r="AA105" s="116">
        <f ca="1">IFERROR(SUMIF('nres bld data'!$V$3:$V$254,"="&amp;$B105&amp;$C105&amp;$D105,'nres bld data'!P$3:P$254)/SUMIF('nres bld data'!$W$256:$W$297,"="&amp;$B105&amp;$C105,'nres bld data'!P$256:P$297),0)</f>
        <v>0.68610782098157086</v>
      </c>
      <c r="AB105" s="116">
        <f ca="1">IFERROR(SUMIF('nres bld data'!$V$3:$V$254,"="&amp;$B105&amp;$C105&amp;$D105,'nres bld data'!Q$3:Q$254)/SUMIF('nres bld data'!$W$256:$W$297,"="&amp;$B105&amp;$C105,'nres bld data'!Q$256:Q$297),0)</f>
        <v>0</v>
      </c>
    </row>
    <row r="106" spans="2:28">
      <c r="B106" s="20" t="s">
        <v>9</v>
      </c>
      <c r="C106" s="20" t="s">
        <v>460</v>
      </c>
      <c r="D106" s="20" t="s">
        <v>433</v>
      </c>
      <c r="E106" s="55">
        <f t="shared" ca="1" si="0"/>
        <v>0</v>
      </c>
      <c r="F106" s="55">
        <f t="shared" ca="1" si="1"/>
        <v>0</v>
      </c>
      <c r="G106" s="21">
        <f>IFERROR(SUMIF('nres bld data'!$A$3:$A$38,B106&amp;C106,'nres bld data'!$D$3:$D$38),0)</f>
        <v>0</v>
      </c>
      <c r="H106" s="21">
        <f t="shared" ref="H106:I106" ca="1" si="110">$T106*U106</f>
        <v>0</v>
      </c>
      <c r="I106" s="21">
        <f t="shared" ca="1" si="110"/>
        <v>0</v>
      </c>
      <c r="J106" s="21"/>
      <c r="K106" s="21"/>
      <c r="S106" s="115"/>
      <c r="T106" s="22">
        <f ca="1">G106/SUMIF('nres bld data'!$B$3:$B$38,$B106,'nres bld data'!$D$3:$D$38)</f>
        <v>0</v>
      </c>
      <c r="U106" s="21">
        <f>SUMIFS('Projections by County'!$D$10:$D$36,'Projections by County'!$A$10:$A$36,$B106,'Projections by County'!$C$10:$C$36,"Electricity (kWh)",'Projections by County'!$B$10:$B$36,"Commercial")*BTU_per_kWh/1000000</f>
        <v>1014316.6930349399</v>
      </c>
      <c r="V106" s="21">
        <f>SUMIFS('Projections by County'!$D$10:$D$36,'Projections by County'!$A$10:$A$36,$B106,'Projections by County'!$C$10:$C$36,"Natural Gas",'Projections by County'!$B$10:$B$36,"Commercial")</f>
        <v>1213025.5649999999</v>
      </c>
      <c r="W106" s="116"/>
      <c r="X106" s="116">
        <f>IFERROR(SUMIF('nres bld data'!$V$3:$V$254,"="&amp;$B106&amp;$C106&amp;$D106,'nres bld data'!P$3:P$254)/SUMIF('nres bld data'!$V$3:$V$254,"="&amp;$B106&amp;$C106&amp;$D106,'nres bld data'!$T$3:$T$254),0)</f>
        <v>1</v>
      </c>
      <c r="Y106" s="116">
        <f>IFERROR(SUMIF('nres bld data'!$V$3:$V$254,"="&amp;$B106&amp;$C106&amp;$D106,'nres bld data'!Q$3:Q$254)/SUMIF('nres bld data'!$V$3:$V$254,"="&amp;$B106&amp;$C106&amp;$D106,'nres bld data'!$T$3:$T$254),0)</f>
        <v>0</v>
      </c>
      <c r="AA106" s="116">
        <f ca="1">IFERROR(SUMIF('nres bld data'!$V$3:$V$254,"="&amp;$B106&amp;$C106&amp;$D106,'nres bld data'!P$3:P$254)/SUMIF('nres bld data'!$W$256:$W$297,"="&amp;$B106&amp;$C106,'nres bld data'!P$256:P$297),0)</f>
        <v>0.10045524450289758</v>
      </c>
      <c r="AB106" s="116">
        <f ca="1">IFERROR(SUMIF('nres bld data'!$V$3:$V$254,"="&amp;$B106&amp;$C106&amp;$D106,'nres bld data'!Q$3:Q$254)/SUMIF('nres bld data'!$W$256:$W$297,"="&amp;$B106&amp;$C106,'nres bld data'!Q$256:Q$297),0)</f>
        <v>0</v>
      </c>
    </row>
    <row r="107" spans="2:28">
      <c r="B107" s="20" t="s">
        <v>9</v>
      </c>
      <c r="C107" s="20" t="s">
        <v>460</v>
      </c>
      <c r="D107" s="20" t="s">
        <v>437</v>
      </c>
      <c r="E107" s="55">
        <f t="shared" ca="1" si="0"/>
        <v>0</v>
      </c>
      <c r="F107" s="55">
        <f t="shared" ca="1" si="1"/>
        <v>0</v>
      </c>
      <c r="G107" s="21">
        <f>IFERROR(SUMIF('nres bld data'!$A$3:$A$38,B107&amp;C107,'nres bld data'!$D$3:$D$38),0)</f>
        <v>0</v>
      </c>
      <c r="H107" s="21">
        <f t="shared" ref="H107:I107" ca="1" si="111">$T107*U107</f>
        <v>0</v>
      </c>
      <c r="I107" s="21">
        <f t="shared" ca="1" si="111"/>
        <v>0</v>
      </c>
      <c r="J107" s="21"/>
      <c r="K107" s="21"/>
      <c r="S107" s="115"/>
      <c r="T107" s="22">
        <f ca="1">G107/SUMIF('nres bld data'!$B$3:$B$38,$B107,'nres bld data'!$D$3:$D$38)</f>
        <v>0</v>
      </c>
      <c r="U107" s="21">
        <f>SUMIFS('Projections by County'!$D$10:$D$36,'Projections by County'!$A$10:$A$36,$B107,'Projections by County'!$C$10:$C$36,"Electricity (kWh)",'Projections by County'!$B$10:$B$36,"Commercial")*BTU_per_kWh/1000000</f>
        <v>1014316.6930349399</v>
      </c>
      <c r="V107" s="21">
        <f>SUMIFS('Projections by County'!$D$10:$D$36,'Projections by County'!$A$10:$A$36,$B107,'Projections by County'!$C$10:$C$36,"Natural Gas",'Projections by County'!$B$10:$B$36,"Commercial")</f>
        <v>1213025.5649999999</v>
      </c>
      <c r="W107" s="116"/>
      <c r="X107" s="116">
        <f>IFERROR(SUMIF('nres bld data'!$V$3:$V$254,"="&amp;$B107&amp;$C107&amp;$D107,'nres bld data'!P$3:P$254)/SUMIF('nres bld data'!$V$3:$V$254,"="&amp;$B107&amp;$C107&amp;$D107,'nres bld data'!$T$3:$T$254),0)</f>
        <v>1</v>
      </c>
      <c r="Y107" s="116">
        <f>IFERROR(SUMIF('nres bld data'!$V$3:$V$254,"="&amp;$B107&amp;$C107&amp;$D107,'nres bld data'!Q$3:Q$254)/SUMIF('nres bld data'!$V$3:$V$254,"="&amp;$B107&amp;$C107&amp;$D107,'nres bld data'!$T$3:$T$254),0)</f>
        <v>0</v>
      </c>
      <c r="AA107" s="116">
        <f ca="1">IFERROR(SUMIF('nres bld data'!$V$3:$V$254,"="&amp;$B107&amp;$C107&amp;$D107,'nres bld data'!P$3:P$254)/SUMIF('nres bld data'!$W$256:$W$297,"="&amp;$B107&amp;$C107,'nres bld data'!P$256:P$297),0)</f>
        <v>6.4562702590752863E-2</v>
      </c>
      <c r="AB107" s="116">
        <f ca="1">IFERROR(SUMIF('nres bld data'!$V$3:$V$254,"="&amp;$B107&amp;$C107&amp;$D107,'nres bld data'!Q$3:Q$254)/SUMIF('nres bld data'!$W$256:$W$297,"="&amp;$B107&amp;$C107,'nres bld data'!Q$256:Q$297),0)</f>
        <v>0</v>
      </c>
    </row>
    <row r="108" spans="2:28">
      <c r="B108" s="20" t="s">
        <v>9</v>
      </c>
      <c r="C108" s="20" t="s">
        <v>460</v>
      </c>
      <c r="D108" s="20" t="s">
        <v>440</v>
      </c>
      <c r="E108" s="55">
        <f t="shared" ca="1" si="0"/>
        <v>0</v>
      </c>
      <c r="F108" s="55">
        <f t="shared" ca="1" si="1"/>
        <v>0</v>
      </c>
      <c r="G108" s="21">
        <f>IFERROR(SUMIF('nres bld data'!$A$3:$A$38,B108&amp;C108,'nres bld data'!$D$3:$D$38),0)</f>
        <v>0</v>
      </c>
      <c r="H108" s="21">
        <f t="shared" ref="H108:I108" ca="1" si="112">$T108*U108</f>
        <v>0</v>
      </c>
      <c r="I108" s="21">
        <f t="shared" ca="1" si="112"/>
        <v>0</v>
      </c>
      <c r="J108" s="21"/>
      <c r="K108" s="21"/>
      <c r="S108" s="115"/>
      <c r="T108" s="22">
        <f ca="1">G108/SUMIF('nres bld data'!$B$3:$B$38,$B108,'nres bld data'!$D$3:$D$38)</f>
        <v>0</v>
      </c>
      <c r="U108" s="21">
        <f>SUMIFS('Projections by County'!$D$10:$D$36,'Projections by County'!$A$10:$A$36,$B108,'Projections by County'!$C$10:$C$36,"Electricity (kWh)",'Projections by County'!$B$10:$B$36,"Commercial")*BTU_per_kWh/1000000</f>
        <v>1014316.6930349399</v>
      </c>
      <c r="V108" s="21">
        <f>SUMIFS('Projections by County'!$D$10:$D$36,'Projections by County'!$A$10:$A$36,$B108,'Projections by County'!$C$10:$C$36,"Natural Gas",'Projections by County'!$B$10:$B$36,"Commercial")</f>
        <v>1213025.5649999999</v>
      </c>
      <c r="W108" s="116"/>
      <c r="X108" s="116">
        <f>IFERROR(SUMIF('nres bld data'!$V$3:$V$254,"="&amp;$B108&amp;$C108&amp;$D108,'nres bld data'!P$3:P$254)/SUMIF('nres bld data'!$V$3:$V$254,"="&amp;$B108&amp;$C108&amp;$D108,'nres bld data'!$T$3:$T$254),0)</f>
        <v>1</v>
      </c>
      <c r="Y108" s="116">
        <f>IFERROR(SUMIF('nres bld data'!$V$3:$V$254,"="&amp;$B108&amp;$C108&amp;$D108,'nres bld data'!Q$3:Q$254)/SUMIF('nres bld data'!$V$3:$V$254,"="&amp;$B108&amp;$C108&amp;$D108,'nres bld data'!$T$3:$T$254),0)</f>
        <v>0</v>
      </c>
      <c r="AA108" s="116">
        <f ca="1">IFERROR(SUMIF('nres bld data'!$V$3:$V$254,"="&amp;$B108&amp;$C108&amp;$D108,'nres bld data'!P$3:P$254)/SUMIF('nres bld data'!$W$256:$W$297,"="&amp;$B108&amp;$C108,'nres bld data'!P$256:P$297),0)</f>
        <v>0.14887423192477864</v>
      </c>
      <c r="AB108" s="116">
        <f ca="1">IFERROR(SUMIF('nres bld data'!$V$3:$V$254,"="&amp;$B108&amp;$C108&amp;$D108,'nres bld data'!Q$3:Q$254)/SUMIF('nres bld data'!$W$256:$W$297,"="&amp;$B108&amp;$C108,'nres bld data'!Q$256:Q$297),0)</f>
        <v>0</v>
      </c>
    </row>
    <row r="109" spans="2:28">
      <c r="B109" s="20" t="s">
        <v>9</v>
      </c>
      <c r="C109" s="20" t="s">
        <v>460</v>
      </c>
      <c r="D109" s="20" t="s">
        <v>443</v>
      </c>
      <c r="E109" s="55">
        <f t="shared" ca="1" si="0"/>
        <v>0</v>
      </c>
      <c r="F109" s="55">
        <f t="shared" ca="1" si="1"/>
        <v>0</v>
      </c>
      <c r="G109" s="21">
        <f>IFERROR(SUMIF('nres bld data'!$A$3:$A$38,B109&amp;C109,'nres bld data'!$D$3:$D$38),0)</f>
        <v>0</v>
      </c>
      <c r="H109" s="21">
        <f t="shared" ref="H109:I109" ca="1" si="113">$T109*U109</f>
        <v>0</v>
      </c>
      <c r="I109" s="21">
        <f t="shared" ca="1" si="113"/>
        <v>0</v>
      </c>
      <c r="J109" s="21"/>
      <c r="K109" s="21"/>
      <c r="S109" s="115"/>
      <c r="T109" s="22">
        <f ca="1">G109/SUMIF('nres bld data'!$B$3:$B$38,$B109,'nres bld data'!$D$3:$D$38)</f>
        <v>0</v>
      </c>
      <c r="U109" s="21">
        <f>SUMIFS('Projections by County'!$D$10:$D$36,'Projections by County'!$A$10:$A$36,$B109,'Projections by County'!$C$10:$C$36,"Electricity (kWh)",'Projections by County'!$B$10:$B$36,"Commercial")*BTU_per_kWh/1000000</f>
        <v>1014316.6930349399</v>
      </c>
      <c r="V109" s="21">
        <f>SUMIFS('Projections by County'!$D$10:$D$36,'Projections by County'!$A$10:$A$36,$B109,'Projections by County'!$C$10:$C$36,"Natural Gas",'Projections by County'!$B$10:$B$36,"Commercial")</f>
        <v>1213025.5649999999</v>
      </c>
      <c r="W109" s="116"/>
      <c r="X109" s="116">
        <f>IFERROR(SUMIF('nres bld data'!$V$3:$V$254,"="&amp;$B109&amp;$C109&amp;$D109,'nres bld data'!P$3:P$254)/SUMIF('nres bld data'!$V$3:$V$254,"="&amp;$B109&amp;$C109&amp;$D109,'nres bld data'!$T$3:$T$254),0)</f>
        <v>0</v>
      </c>
      <c r="Y109" s="116">
        <f>IFERROR(SUMIF('nres bld data'!$V$3:$V$254,"="&amp;$B109&amp;$C109&amp;$D109,'nres bld data'!Q$3:Q$254)/SUMIF('nres bld data'!$V$3:$V$254,"="&amp;$B109&amp;$C109&amp;$D109,'nres bld data'!$T$3:$T$254),0)</f>
        <v>1</v>
      </c>
      <c r="AA109" s="116">
        <f ca="1">IFERROR(SUMIF('nres bld data'!$V$3:$V$254,"="&amp;$B109&amp;$C109&amp;$D109,'nres bld data'!P$3:P$254)/SUMIF('nres bld data'!$W$256:$W$297,"="&amp;$B109&amp;$C109,'nres bld data'!P$256:P$297),0)</f>
        <v>0</v>
      </c>
      <c r="AB109" s="116">
        <f ca="1">IFERROR(SUMIF('nres bld data'!$V$3:$V$254,"="&amp;$B109&amp;$C109&amp;$D109,'nres bld data'!Q$3:Q$254)/SUMIF('nres bld data'!$W$256:$W$297,"="&amp;$B109&amp;$C109,'nres bld data'!Q$256:Q$297),0)</f>
        <v>0.91660593546266911</v>
      </c>
    </row>
    <row r="110" spans="2:28">
      <c r="B110" s="20" t="s">
        <v>9</v>
      </c>
      <c r="C110" s="20" t="s">
        <v>460</v>
      </c>
      <c r="D110" s="20" t="s">
        <v>445</v>
      </c>
      <c r="E110" s="55">
        <f t="shared" ca="1" si="0"/>
        <v>0</v>
      </c>
      <c r="F110" s="55">
        <f t="shared" ca="1" si="1"/>
        <v>0</v>
      </c>
      <c r="G110" s="21">
        <f>IFERROR(SUMIF('nres bld data'!$A$3:$A$38,B110&amp;C110,'nres bld data'!$D$3:$D$38),0)</f>
        <v>0</v>
      </c>
      <c r="H110" s="21">
        <f t="shared" ref="H110:I110" ca="1" si="114">$T110*U110</f>
        <v>0</v>
      </c>
      <c r="I110" s="21">
        <f t="shared" ca="1" si="114"/>
        <v>0</v>
      </c>
      <c r="J110" s="21"/>
      <c r="K110" s="21"/>
      <c r="S110" s="115"/>
      <c r="T110" s="22">
        <f ca="1">G110/SUMIF('nres bld data'!$B$3:$B$38,$B110,'nres bld data'!$D$3:$D$38)</f>
        <v>0</v>
      </c>
      <c r="U110" s="21">
        <f>SUMIFS('Projections by County'!$D$10:$D$36,'Projections by County'!$A$10:$A$36,$B110,'Projections by County'!$C$10:$C$36,"Electricity (kWh)",'Projections by County'!$B$10:$B$36,"Commercial")*BTU_per_kWh/1000000</f>
        <v>1014316.6930349399</v>
      </c>
      <c r="V110" s="21">
        <f>SUMIFS('Projections by County'!$D$10:$D$36,'Projections by County'!$A$10:$A$36,$B110,'Projections by County'!$C$10:$C$36,"Natural Gas",'Projections by County'!$B$10:$B$36,"Commercial")</f>
        <v>1213025.5649999999</v>
      </c>
      <c r="W110" s="116"/>
      <c r="X110" s="116">
        <f>IFERROR(SUMIF('nres bld data'!$V$3:$V$254,"="&amp;$B110&amp;$C110&amp;$D110,'nres bld data'!P$3:P$254)/SUMIF('nres bld data'!$V$3:$V$254,"="&amp;$B110&amp;$C110&amp;$D110,'nres bld data'!$T$3:$T$254),0)</f>
        <v>0</v>
      </c>
      <c r="Y110" s="116">
        <f>IFERROR(SUMIF('nres bld data'!$V$3:$V$254,"="&amp;$B110&amp;$C110&amp;$D110,'nres bld data'!Q$3:Q$254)/SUMIF('nres bld data'!$V$3:$V$254,"="&amp;$B110&amp;$C110&amp;$D110,'nres bld data'!$T$3:$T$254),0)</f>
        <v>1</v>
      </c>
      <c r="AA110" s="116">
        <f ca="1">IFERROR(SUMIF('nres bld data'!$V$3:$V$254,"="&amp;$B110&amp;$C110&amp;$D110,'nres bld data'!P$3:P$254)/SUMIF('nres bld data'!$W$256:$W$297,"="&amp;$B110&amp;$C110,'nres bld data'!P$256:P$297),0)</f>
        <v>0</v>
      </c>
      <c r="AB110" s="116">
        <f ca="1">IFERROR(SUMIF('nres bld data'!$V$3:$V$254,"="&amp;$B110&amp;$C110&amp;$D110,'nres bld data'!Q$3:Q$254)/SUMIF('nres bld data'!$W$256:$W$297,"="&amp;$B110&amp;$C110,'nres bld data'!Q$256:Q$297),0)</f>
        <v>8.339406453733085E-2</v>
      </c>
    </row>
    <row r="111" spans="2:28">
      <c r="B111" s="20" t="s">
        <v>9</v>
      </c>
      <c r="C111" s="20" t="s">
        <v>434</v>
      </c>
      <c r="D111" s="20" t="s">
        <v>429</v>
      </c>
      <c r="E111" s="55">
        <f t="shared" ca="1" si="0"/>
        <v>1.8911234515246789E-2</v>
      </c>
      <c r="F111" s="55">
        <f t="shared" ca="1" si="1"/>
        <v>0</v>
      </c>
      <c r="G111" s="21">
        <f ca="1">IFERROR(SUMIF('nres bld data'!$A$3:$A$38,B111&amp;C111,'nres bld data'!$D$3:$D$38),0)</f>
        <v>8424112</v>
      </c>
      <c r="H111" s="21">
        <f t="shared" ref="H111:I111" ca="1" si="115">$T111*U111</f>
        <v>287599.28563952463</v>
      </c>
      <c r="I111" s="21">
        <f t="shared" ca="1" si="115"/>
        <v>343941.18558045209</v>
      </c>
      <c r="J111" s="21"/>
      <c r="K111" s="21"/>
      <c r="S111" s="115"/>
      <c r="T111" s="22">
        <f ca="1">G111/SUMIF('nres bld data'!$B$3:$B$38,$B111,'nres bld data'!$D$3:$D$38)</f>
        <v>0.28353993147741458</v>
      </c>
      <c r="U111" s="21">
        <f>SUMIFS('Projections by County'!$D$10:$D$36,'Projections by County'!$A$10:$A$36,$B111,'Projections by County'!$C$10:$C$36,"Electricity (kWh)",'Projections by County'!$B$10:$B$36,"Commercial")*BTU_per_kWh/1000000</f>
        <v>1014316.6930349399</v>
      </c>
      <c r="V111" s="21">
        <f>SUMIFS('Projections by County'!$D$10:$D$36,'Projections by County'!$A$10:$A$36,$B111,'Projections by County'!$C$10:$C$36,"Natural Gas",'Projections by County'!$B$10:$B$36,"Commercial")</f>
        <v>1213025.5649999999</v>
      </c>
      <c r="W111" s="116"/>
      <c r="X111" s="116">
        <f>IFERROR(SUMIF('nres bld data'!$V$3:$V$254,"="&amp;$B111&amp;$C111&amp;$D111,'nres bld data'!P$3:P$254)/SUMIF('nres bld data'!$V$3:$V$254,"="&amp;$B111&amp;$C111&amp;$D111,'nres bld data'!$T$3:$T$254),0)</f>
        <v>1</v>
      </c>
      <c r="Y111" s="116">
        <f>IFERROR(SUMIF('nres bld data'!$V$3:$V$254,"="&amp;$B111&amp;$C111&amp;$D111,'nres bld data'!Q$3:Q$254)/SUMIF('nres bld data'!$V$3:$V$254,"="&amp;$B111&amp;$C111&amp;$D111,'nres bld data'!$T$3:$T$254),0)</f>
        <v>0</v>
      </c>
      <c r="AA111" s="116">
        <f ca="1">IFERROR(SUMIF('nres bld data'!$V$3:$V$254,"="&amp;$B111&amp;$C111&amp;$D111,'nres bld data'!P$3:P$254)/SUMIF('nres bld data'!$W$256:$W$297,"="&amp;$B111&amp;$C111,'nres bld data'!P$256:P$297),0)</f>
        <v>0.55393168748820676</v>
      </c>
      <c r="AB111" s="116">
        <f ca="1">IFERROR(SUMIF('nres bld data'!$V$3:$V$254,"="&amp;$B111&amp;$C111&amp;$D111,'nres bld data'!Q$3:Q$254)/SUMIF('nres bld data'!$W$256:$W$297,"="&amp;$B111&amp;$C111,'nres bld data'!Q$256:Q$297),0)</f>
        <v>0</v>
      </c>
    </row>
    <row r="112" spans="2:28">
      <c r="B112" s="20" t="s">
        <v>9</v>
      </c>
      <c r="C112" s="20" t="s">
        <v>434</v>
      </c>
      <c r="D112" s="20" t="s">
        <v>433</v>
      </c>
      <c r="E112" s="55">
        <f t="shared" ca="1" si="0"/>
        <v>4.2515994308979649E-3</v>
      </c>
      <c r="F112" s="55">
        <f t="shared" ca="1" si="1"/>
        <v>0</v>
      </c>
      <c r="G112" s="21">
        <f ca="1">IFERROR(SUMIF('nres bld data'!$A$3:$A$38,B112&amp;C112,'nres bld data'!$D$3:$D$38),0)</f>
        <v>8424112</v>
      </c>
      <c r="H112" s="21">
        <f t="shared" ref="H112:I112" ca="1" si="116">$T112*U112</f>
        <v>287599.28563952463</v>
      </c>
      <c r="I112" s="21">
        <f t="shared" ca="1" si="116"/>
        <v>343941.18558045209</v>
      </c>
      <c r="J112" s="21"/>
      <c r="K112" s="21"/>
      <c r="S112" s="115"/>
      <c r="T112" s="22">
        <f ca="1">G112/SUMIF('nres bld data'!$B$3:$B$38,$B112,'nres bld data'!$D$3:$D$38)</f>
        <v>0.28353993147741458</v>
      </c>
      <c r="U112" s="21">
        <f>SUMIFS('Projections by County'!$D$10:$D$36,'Projections by County'!$A$10:$A$36,$B112,'Projections by County'!$C$10:$C$36,"Electricity (kWh)",'Projections by County'!$B$10:$B$36,"Commercial")*BTU_per_kWh/1000000</f>
        <v>1014316.6930349399</v>
      </c>
      <c r="V112" s="21">
        <f>SUMIFS('Projections by County'!$D$10:$D$36,'Projections by County'!$A$10:$A$36,$B112,'Projections by County'!$C$10:$C$36,"Natural Gas",'Projections by County'!$B$10:$B$36,"Commercial")</f>
        <v>1213025.5649999999</v>
      </c>
      <c r="W112" s="116"/>
      <c r="X112" s="116">
        <f>IFERROR(SUMIF('nres bld data'!$V$3:$V$254,"="&amp;$B112&amp;$C112&amp;$D112,'nres bld data'!P$3:P$254)/SUMIF('nres bld data'!$V$3:$V$254,"="&amp;$B112&amp;$C112&amp;$D112,'nres bld data'!$T$3:$T$254),0)</f>
        <v>1</v>
      </c>
      <c r="Y112" s="116">
        <f>IFERROR(SUMIF('nres bld data'!$V$3:$V$254,"="&amp;$B112&amp;$C112&amp;$D112,'nres bld data'!Q$3:Q$254)/SUMIF('nres bld data'!$V$3:$V$254,"="&amp;$B112&amp;$C112&amp;$D112,'nres bld data'!$T$3:$T$254),0)</f>
        <v>0</v>
      </c>
      <c r="AA112" s="116">
        <f ca="1">IFERROR(SUMIF('nres bld data'!$V$3:$V$254,"="&amp;$B112&amp;$C112&amp;$D112,'nres bld data'!P$3:P$254)/SUMIF('nres bld data'!$W$256:$W$297,"="&amp;$B112&amp;$C112,'nres bld data'!P$256:P$297),0)</f>
        <v>0.12453420983079989</v>
      </c>
      <c r="AB112" s="116">
        <f ca="1">IFERROR(SUMIF('nres bld data'!$V$3:$V$254,"="&amp;$B112&amp;$C112&amp;$D112,'nres bld data'!Q$3:Q$254)/SUMIF('nres bld data'!$W$256:$W$297,"="&amp;$B112&amp;$C112,'nres bld data'!Q$256:Q$297),0)</f>
        <v>0</v>
      </c>
    </row>
    <row r="113" spans="2:28">
      <c r="B113" s="20" t="s">
        <v>9</v>
      </c>
      <c r="C113" s="20" t="s">
        <v>434</v>
      </c>
      <c r="D113" s="20" t="s">
        <v>437</v>
      </c>
      <c r="E113" s="55">
        <f t="shared" ca="1" si="0"/>
        <v>7.2083500513814161E-3</v>
      </c>
      <c r="F113" s="55">
        <f t="shared" ca="1" si="1"/>
        <v>0</v>
      </c>
      <c r="G113" s="21">
        <f ca="1">IFERROR(SUMIF('nres bld data'!$A$3:$A$38,B113&amp;C113,'nres bld data'!$D$3:$D$38),0)</f>
        <v>8424112</v>
      </c>
      <c r="H113" s="21">
        <f t="shared" ref="H113:I113" ca="1" si="117">$T113*U113</f>
        <v>287599.28563952463</v>
      </c>
      <c r="I113" s="21">
        <f t="shared" ca="1" si="117"/>
        <v>343941.18558045209</v>
      </c>
      <c r="J113" s="21"/>
      <c r="K113" s="21"/>
      <c r="S113" s="115"/>
      <c r="T113" s="22">
        <f ca="1">G113/SUMIF('nres bld data'!$B$3:$B$38,$B113,'nres bld data'!$D$3:$D$38)</f>
        <v>0.28353993147741458</v>
      </c>
      <c r="U113" s="21">
        <f>SUMIFS('Projections by County'!$D$10:$D$36,'Projections by County'!$A$10:$A$36,$B113,'Projections by County'!$C$10:$C$36,"Electricity (kWh)",'Projections by County'!$B$10:$B$36,"Commercial")*BTU_per_kWh/1000000</f>
        <v>1014316.6930349399</v>
      </c>
      <c r="V113" s="21">
        <f>SUMIFS('Projections by County'!$D$10:$D$36,'Projections by County'!$A$10:$A$36,$B113,'Projections by County'!$C$10:$C$36,"Natural Gas",'Projections by County'!$B$10:$B$36,"Commercial")</f>
        <v>1213025.5649999999</v>
      </c>
      <c r="W113" s="116"/>
      <c r="X113" s="116">
        <f>IFERROR(SUMIF('nres bld data'!$V$3:$V$254,"="&amp;$B113&amp;$C113&amp;$D113,'nres bld data'!P$3:P$254)/SUMIF('nres bld data'!$V$3:$V$254,"="&amp;$B113&amp;$C113&amp;$D113,'nres bld data'!$T$3:$T$254),0)</f>
        <v>1</v>
      </c>
      <c r="Y113" s="116">
        <f>IFERROR(SUMIF('nres bld data'!$V$3:$V$254,"="&amp;$B113&amp;$C113&amp;$D113,'nres bld data'!Q$3:Q$254)/SUMIF('nres bld data'!$V$3:$V$254,"="&amp;$B113&amp;$C113&amp;$D113,'nres bld data'!$T$3:$T$254),0)</f>
        <v>0</v>
      </c>
      <c r="AA113" s="116">
        <f ca="1">IFERROR(SUMIF('nres bld data'!$V$3:$V$254,"="&amp;$B113&amp;$C113&amp;$D113,'nres bld data'!P$3:P$254)/SUMIF('nres bld data'!$W$256:$W$297,"="&amp;$B113&amp;$C113,'nres bld data'!P$256:P$297),0)</f>
        <v>0.21114081710256358</v>
      </c>
      <c r="AB113" s="116">
        <f ca="1">IFERROR(SUMIF('nres bld data'!$V$3:$V$254,"="&amp;$B113&amp;$C113&amp;$D113,'nres bld data'!Q$3:Q$254)/SUMIF('nres bld data'!$W$256:$W$297,"="&amp;$B113&amp;$C113,'nres bld data'!Q$256:Q$297),0)</f>
        <v>0</v>
      </c>
    </row>
    <row r="114" spans="2:28">
      <c r="B114" s="20" t="s">
        <v>9</v>
      </c>
      <c r="C114" s="20" t="s">
        <v>434</v>
      </c>
      <c r="D114" s="20" t="s">
        <v>440</v>
      </c>
      <c r="E114" s="55">
        <f t="shared" ca="1" si="0"/>
        <v>3.295493950286439E-3</v>
      </c>
      <c r="F114" s="55">
        <f t="shared" ca="1" si="1"/>
        <v>0</v>
      </c>
      <c r="G114" s="21">
        <f ca="1">IFERROR(SUMIF('nres bld data'!$A$3:$A$38,B114&amp;C114,'nres bld data'!$D$3:$D$38),0)</f>
        <v>8424112</v>
      </c>
      <c r="H114" s="21">
        <f t="shared" ref="H114:I114" ca="1" si="118">$T114*U114</f>
        <v>287599.28563952463</v>
      </c>
      <c r="I114" s="21">
        <f t="shared" ca="1" si="118"/>
        <v>343941.18558045209</v>
      </c>
      <c r="J114" s="21"/>
      <c r="K114" s="21"/>
      <c r="S114" s="115"/>
      <c r="T114" s="22">
        <f ca="1">G114/SUMIF('nres bld data'!$B$3:$B$38,$B114,'nres bld data'!$D$3:$D$38)</f>
        <v>0.28353993147741458</v>
      </c>
      <c r="U114" s="21">
        <f>SUMIFS('Projections by County'!$D$10:$D$36,'Projections by County'!$A$10:$A$36,$B114,'Projections by County'!$C$10:$C$36,"Electricity (kWh)",'Projections by County'!$B$10:$B$36,"Commercial")*BTU_per_kWh/1000000</f>
        <v>1014316.6930349399</v>
      </c>
      <c r="V114" s="21">
        <f>SUMIFS('Projections by County'!$D$10:$D$36,'Projections by County'!$A$10:$A$36,$B114,'Projections by County'!$C$10:$C$36,"Natural Gas",'Projections by County'!$B$10:$B$36,"Commercial")</f>
        <v>1213025.5649999999</v>
      </c>
      <c r="W114" s="116"/>
      <c r="X114" s="116">
        <f>IFERROR(SUMIF('nres bld data'!$V$3:$V$254,"="&amp;$B114&amp;$C114&amp;$D114,'nres bld data'!P$3:P$254)/SUMIF('nres bld data'!$V$3:$V$254,"="&amp;$B114&amp;$C114&amp;$D114,'nres bld data'!$T$3:$T$254),0)</f>
        <v>1</v>
      </c>
      <c r="Y114" s="116">
        <f>IFERROR(SUMIF('nres bld data'!$V$3:$V$254,"="&amp;$B114&amp;$C114&amp;$D114,'nres bld data'!Q$3:Q$254)/SUMIF('nres bld data'!$V$3:$V$254,"="&amp;$B114&amp;$C114&amp;$D114,'nres bld data'!$T$3:$T$254),0)</f>
        <v>0</v>
      </c>
      <c r="AA114" s="116">
        <f ca="1">IFERROR(SUMIF('nres bld data'!$V$3:$V$254,"="&amp;$B114&amp;$C114&amp;$D114,'nres bld data'!P$3:P$254)/SUMIF('nres bld data'!$W$256:$W$297,"="&amp;$B114&amp;$C114,'nres bld data'!P$256:P$297),0)</f>
        <v>9.6528786818099566E-2</v>
      </c>
      <c r="AB114" s="116">
        <f ca="1">IFERROR(SUMIF('nres bld data'!$V$3:$V$254,"="&amp;$B114&amp;$C114&amp;$D114,'nres bld data'!Q$3:Q$254)/SUMIF('nres bld data'!$W$256:$W$297,"="&amp;$B114&amp;$C114,'nres bld data'!Q$256:Q$297),0)</f>
        <v>0</v>
      </c>
    </row>
    <row r="115" spans="2:28">
      <c r="B115" s="20" t="s">
        <v>9</v>
      </c>
      <c r="C115" s="20" t="s">
        <v>434</v>
      </c>
      <c r="D115" s="20" t="s">
        <v>443</v>
      </c>
      <c r="E115" s="55">
        <f t="shared" ca="1" si="0"/>
        <v>4.2706273098099101E-6</v>
      </c>
      <c r="F115" s="55">
        <f t="shared" ca="1" si="1"/>
        <v>3.6309460782996919E-2</v>
      </c>
      <c r="G115" s="21">
        <f ca="1">IFERROR(SUMIF('nres bld data'!$A$3:$A$38,B115&amp;C115,'nres bld data'!$D$3:$D$38),0)</f>
        <v>8424112</v>
      </c>
      <c r="H115" s="21">
        <f t="shared" ref="H115:I115" ca="1" si="119">$T115*U115</f>
        <v>287599.28563952463</v>
      </c>
      <c r="I115" s="21">
        <f t="shared" ca="1" si="119"/>
        <v>343941.18558045209</v>
      </c>
      <c r="J115" s="21"/>
      <c r="K115" s="21"/>
      <c r="S115" s="115"/>
      <c r="T115" s="22">
        <f ca="1">G115/SUMIF('nres bld data'!$B$3:$B$38,$B115,'nres bld data'!$D$3:$D$38)</f>
        <v>0.28353993147741458</v>
      </c>
      <c r="U115" s="21">
        <f>SUMIFS('Projections by County'!$D$10:$D$36,'Projections by County'!$A$10:$A$36,$B115,'Projections by County'!$C$10:$C$36,"Electricity (kWh)",'Projections by County'!$B$10:$B$36,"Commercial")*BTU_per_kWh/1000000</f>
        <v>1014316.6930349399</v>
      </c>
      <c r="V115" s="21">
        <f>SUMIFS('Projections by County'!$D$10:$D$36,'Projections by County'!$A$10:$A$36,$B115,'Projections by County'!$C$10:$C$36,"Natural Gas",'Projections by County'!$B$10:$B$36,"Commercial")</f>
        <v>1213025.5649999999</v>
      </c>
      <c r="W115" s="116"/>
      <c r="X115" s="116">
        <f>IFERROR(SUMIF('nres bld data'!$V$3:$V$254,"="&amp;$B115&amp;$C115&amp;$D115,'nres bld data'!P$3:P$254)/SUMIF('nres bld data'!$V$3:$V$254,"="&amp;$B115&amp;$C115&amp;$D115,'nres bld data'!$T$3:$T$254),0)</f>
        <v>5.1852302765781355E-4</v>
      </c>
      <c r="Y115" s="116">
        <f>IFERROR(SUMIF('nres bld data'!$V$3:$V$254,"="&amp;$B115&amp;$C115&amp;$D115,'nres bld data'!Q$3:Q$254)/SUMIF('nres bld data'!$V$3:$V$254,"="&amp;$B115&amp;$C115&amp;$D115,'nres bld data'!$T$3:$T$254),0)</f>
        <v>0.37951863756030485</v>
      </c>
      <c r="AA115" s="116">
        <f ca="1">IFERROR(SUMIF('nres bld data'!$V$3:$V$254,"="&amp;$B115&amp;$C115&amp;$D115,'nres bld data'!P$3:P$254)/SUMIF('nres bld data'!$W$256:$W$297,"="&amp;$B115&amp;$C115,'nres bld data'!P$256:P$297),0)</f>
        <v>1.2509155816607209E-4</v>
      </c>
      <c r="AB115" s="116">
        <f ca="1">IFERROR(SUMIF('nres bld data'!$V$3:$V$254,"="&amp;$B115&amp;$C115&amp;$D115,'nres bld data'!Q$3:Q$254)/SUMIF('nres bld data'!$W$256:$W$297,"="&amp;$B115&amp;$C115,'nres bld data'!Q$256:Q$297),0)</f>
        <v>0.88932345737938923</v>
      </c>
    </row>
    <row r="116" spans="2:28">
      <c r="B116" s="20" t="s">
        <v>9</v>
      </c>
      <c r="C116" s="20" t="s">
        <v>434</v>
      </c>
      <c r="D116" s="20" t="s">
        <v>445</v>
      </c>
      <c r="E116" s="55">
        <f t="shared" ca="1" si="0"/>
        <v>4.690635281740018E-4</v>
      </c>
      <c r="F116" s="55">
        <f t="shared" ca="1" si="1"/>
        <v>4.5187221258309856E-3</v>
      </c>
      <c r="G116" s="21">
        <f ca="1">IFERROR(SUMIF('nres bld data'!$A$3:$A$38,B116&amp;C116,'nres bld data'!$D$3:$D$38),0)</f>
        <v>8424112</v>
      </c>
      <c r="H116" s="21">
        <f t="shared" ref="H116:I116" ca="1" si="120">$T116*U116</f>
        <v>287599.28563952463</v>
      </c>
      <c r="I116" s="21">
        <f t="shared" ca="1" si="120"/>
        <v>343941.18558045209</v>
      </c>
      <c r="J116" s="21"/>
      <c r="K116" s="21"/>
      <c r="S116" s="115"/>
      <c r="T116" s="22">
        <f ca="1">G116/SUMIF('nres bld data'!$B$3:$B$38,$B116,'nres bld data'!$D$3:$D$38)</f>
        <v>0.28353993147741458</v>
      </c>
      <c r="U116" s="21">
        <f>SUMIFS('Projections by County'!$D$10:$D$36,'Projections by County'!$A$10:$A$36,$B116,'Projections by County'!$C$10:$C$36,"Electricity (kWh)",'Projections by County'!$B$10:$B$36,"Commercial")*BTU_per_kWh/1000000</f>
        <v>1014316.6930349399</v>
      </c>
      <c r="V116" s="21">
        <f>SUMIFS('Projections by County'!$D$10:$D$36,'Projections by County'!$A$10:$A$36,$B116,'Projections by County'!$C$10:$C$36,"Natural Gas",'Projections by County'!$B$10:$B$36,"Commercial")</f>
        <v>1213025.5649999999</v>
      </c>
      <c r="W116" s="116"/>
      <c r="X116" s="116">
        <f>IFERROR(SUMIF('nres bld data'!$V$3:$V$254,"="&amp;$B116&amp;$C116&amp;$D116,'nres bld data'!P$3:P$254)/SUMIF('nres bld data'!$V$3:$V$254,"="&amp;$B116&amp;$C116&amp;$D116,'nres bld data'!$T$3:$T$254),0)</f>
        <v>0.54665191976772509</v>
      </c>
      <c r="Y116" s="116">
        <f>IFERROR(SUMIF('nres bld data'!$V$3:$V$254,"="&amp;$B116&amp;$C116&amp;$D116,'nres bld data'!Q$3:Q$254)/SUMIF('nres bld data'!$V$3:$V$254,"="&amp;$B116&amp;$C116&amp;$D116,'nres bld data'!$T$3:$T$254),0)</f>
        <v>0.45334808023227491</v>
      </c>
      <c r="AA116" s="116">
        <f ca="1">IFERROR(SUMIF('nres bld data'!$V$3:$V$254,"="&amp;$B116&amp;$C116&amp;$D116,'nres bld data'!P$3:P$254)/SUMIF('nres bld data'!$W$256:$W$297,"="&amp;$B116&amp;$C116,'nres bld data'!P$256:P$297),0)</f>
        <v>1.3739407202164142E-2</v>
      </c>
      <c r="AB116" s="116">
        <f ca="1">IFERROR(SUMIF('nres bld data'!$V$3:$V$254,"="&amp;$B116&amp;$C116&amp;$D116,'nres bld data'!Q$3:Q$254)/SUMIF('nres bld data'!$W$256:$W$297,"="&amp;$B116&amp;$C116,'nres bld data'!Q$256:Q$297),0)</f>
        <v>0.1106765426206108</v>
      </c>
    </row>
    <row r="117" spans="2:28">
      <c r="B117" s="20" t="s">
        <v>9</v>
      </c>
      <c r="C117" s="20" t="s">
        <v>461</v>
      </c>
      <c r="D117" s="20" t="s">
        <v>429</v>
      </c>
      <c r="E117" s="55">
        <f t="shared" ca="1" si="0"/>
        <v>0</v>
      </c>
      <c r="F117" s="55">
        <f t="shared" ca="1" si="1"/>
        <v>0</v>
      </c>
      <c r="G117" s="21">
        <f>IFERROR(SUMIF('nres bld data'!$A$3:$A$38,B117&amp;C117,'nres bld data'!$D$3:$D$38),0)</f>
        <v>0</v>
      </c>
      <c r="H117" s="21">
        <f t="shared" ref="H117:I117" ca="1" si="121">$T117*U117</f>
        <v>0</v>
      </c>
      <c r="I117" s="21">
        <f t="shared" ca="1" si="121"/>
        <v>0</v>
      </c>
      <c r="J117" s="21"/>
      <c r="K117" s="21"/>
      <c r="S117" s="115"/>
      <c r="T117" s="22">
        <f ca="1">G117/SUMIF('nres bld data'!$B$3:$B$38,$B117,'nres bld data'!$D$3:$D$38)</f>
        <v>0</v>
      </c>
      <c r="U117" s="21">
        <f>SUMIFS('Projections by County'!$D$10:$D$36,'Projections by County'!$A$10:$A$36,$B117,'Projections by County'!$C$10:$C$36,"Electricity (kWh)",'Projections by County'!$B$10:$B$36,"Commercial")*BTU_per_kWh/1000000</f>
        <v>1014316.6930349399</v>
      </c>
      <c r="V117" s="21">
        <f>SUMIFS('Projections by County'!$D$10:$D$36,'Projections by County'!$A$10:$A$36,$B117,'Projections by County'!$C$10:$C$36,"Natural Gas",'Projections by County'!$B$10:$B$36,"Commercial")</f>
        <v>1213025.5649999999</v>
      </c>
      <c r="W117" s="116"/>
      <c r="X117" s="116">
        <f>IFERROR(SUMIF('nres bld data'!$V$3:$V$254,"="&amp;$B117&amp;$C117&amp;$D117,'nres bld data'!P$3:P$254)/SUMIF('nres bld data'!$V$3:$V$254,"="&amp;$B117&amp;$C117&amp;$D117,'nres bld data'!$T$3:$T$254),0)</f>
        <v>0</v>
      </c>
      <c r="Y117" s="116">
        <f>IFERROR(SUMIF('nres bld data'!$V$3:$V$254,"="&amp;$B117&amp;$C117&amp;$D117,'nres bld data'!Q$3:Q$254)/SUMIF('nres bld data'!$V$3:$V$254,"="&amp;$B117&amp;$C117&amp;$D117,'nres bld data'!$T$3:$T$254),0)</f>
        <v>0</v>
      </c>
      <c r="AA117" s="116">
        <f ca="1">IFERROR(SUMIF('nres bld data'!$V$3:$V$254,"="&amp;$B117&amp;$C117&amp;$D117,'nres bld data'!P$3:P$254)/SUMIF('nres bld data'!$W$256:$W$297,"="&amp;$B117&amp;$C117,'nres bld data'!P$256:P$297),0)</f>
        <v>0</v>
      </c>
      <c r="AB117" s="116">
        <f ca="1">IFERROR(SUMIF('nres bld data'!$V$3:$V$254,"="&amp;$B117&amp;$C117&amp;$D117,'nres bld data'!Q$3:Q$254)/SUMIF('nres bld data'!$W$256:$W$297,"="&amp;$B117&amp;$C117,'nres bld data'!Q$256:Q$297),0)</f>
        <v>0</v>
      </c>
    </row>
    <row r="118" spans="2:28">
      <c r="B118" s="20" t="s">
        <v>9</v>
      </c>
      <c r="C118" s="20" t="s">
        <v>461</v>
      </c>
      <c r="D118" s="20" t="s">
        <v>433</v>
      </c>
      <c r="E118" s="55">
        <f t="shared" ca="1" si="0"/>
        <v>0</v>
      </c>
      <c r="F118" s="55">
        <f t="shared" ca="1" si="1"/>
        <v>0</v>
      </c>
      <c r="G118" s="21">
        <f>IFERROR(SUMIF('nres bld data'!$A$3:$A$38,B118&amp;C118,'nres bld data'!$D$3:$D$38),0)</f>
        <v>0</v>
      </c>
      <c r="H118" s="21">
        <f t="shared" ref="H118:I118" ca="1" si="122">$T118*U118</f>
        <v>0</v>
      </c>
      <c r="I118" s="21">
        <f t="shared" ca="1" si="122"/>
        <v>0</v>
      </c>
      <c r="J118" s="21"/>
      <c r="K118" s="21"/>
      <c r="S118" s="115"/>
      <c r="T118" s="22">
        <f ca="1">G118/SUMIF('nres bld data'!$B$3:$B$38,$B118,'nres bld data'!$D$3:$D$38)</f>
        <v>0</v>
      </c>
      <c r="U118" s="21">
        <f>SUMIFS('Projections by County'!$D$10:$D$36,'Projections by County'!$A$10:$A$36,$B118,'Projections by County'!$C$10:$C$36,"Electricity (kWh)",'Projections by County'!$B$10:$B$36,"Commercial")*BTU_per_kWh/1000000</f>
        <v>1014316.6930349399</v>
      </c>
      <c r="V118" s="21">
        <f>SUMIFS('Projections by County'!$D$10:$D$36,'Projections by County'!$A$10:$A$36,$B118,'Projections by County'!$C$10:$C$36,"Natural Gas",'Projections by County'!$B$10:$B$36,"Commercial")</f>
        <v>1213025.5649999999</v>
      </c>
      <c r="W118" s="116"/>
      <c r="X118" s="116">
        <f>IFERROR(SUMIF('nres bld data'!$V$3:$V$254,"="&amp;$B118&amp;$C118&amp;$D118,'nres bld data'!P$3:P$254)/SUMIF('nres bld data'!$V$3:$V$254,"="&amp;$B118&amp;$C118&amp;$D118,'nres bld data'!$T$3:$T$254),0)</f>
        <v>0</v>
      </c>
      <c r="Y118" s="116">
        <f>IFERROR(SUMIF('nres bld data'!$V$3:$V$254,"="&amp;$B118&amp;$C118&amp;$D118,'nres bld data'!Q$3:Q$254)/SUMIF('nres bld data'!$V$3:$V$254,"="&amp;$B118&amp;$C118&amp;$D118,'nres bld data'!$T$3:$T$254),0)</f>
        <v>0</v>
      </c>
      <c r="AA118" s="116">
        <f ca="1">IFERROR(SUMIF('nres bld data'!$V$3:$V$254,"="&amp;$B118&amp;$C118&amp;$D118,'nres bld data'!P$3:P$254)/SUMIF('nres bld data'!$W$256:$W$297,"="&amp;$B118&amp;$C118,'nres bld data'!P$256:P$297),0)</f>
        <v>0</v>
      </c>
      <c r="AB118" s="116">
        <f ca="1">IFERROR(SUMIF('nres bld data'!$V$3:$V$254,"="&amp;$B118&amp;$C118&amp;$D118,'nres bld data'!Q$3:Q$254)/SUMIF('nres bld data'!$W$256:$W$297,"="&amp;$B118&amp;$C118,'nres bld data'!Q$256:Q$297),0)</f>
        <v>0</v>
      </c>
    </row>
    <row r="119" spans="2:28">
      <c r="B119" s="20" t="s">
        <v>9</v>
      </c>
      <c r="C119" s="20" t="s">
        <v>461</v>
      </c>
      <c r="D119" s="20" t="s">
        <v>437</v>
      </c>
      <c r="E119" s="55">
        <f t="shared" ca="1" si="0"/>
        <v>0</v>
      </c>
      <c r="F119" s="55">
        <f t="shared" ca="1" si="1"/>
        <v>0</v>
      </c>
      <c r="G119" s="21">
        <f>IFERROR(SUMIF('nres bld data'!$A$3:$A$38,B119&amp;C119,'nres bld data'!$D$3:$D$38),0)</f>
        <v>0</v>
      </c>
      <c r="H119" s="21">
        <f t="shared" ref="H119:I119" ca="1" si="123">$T119*U119</f>
        <v>0</v>
      </c>
      <c r="I119" s="21">
        <f t="shared" ca="1" si="123"/>
        <v>0</v>
      </c>
      <c r="J119" s="21"/>
      <c r="K119" s="21"/>
      <c r="S119" s="115"/>
      <c r="T119" s="22">
        <f ca="1">G119/SUMIF('nres bld data'!$B$3:$B$38,$B119,'nres bld data'!$D$3:$D$38)</f>
        <v>0</v>
      </c>
      <c r="U119" s="21">
        <f>SUMIFS('Projections by County'!$D$10:$D$36,'Projections by County'!$A$10:$A$36,$B119,'Projections by County'!$C$10:$C$36,"Electricity (kWh)",'Projections by County'!$B$10:$B$36,"Commercial")*BTU_per_kWh/1000000</f>
        <v>1014316.6930349399</v>
      </c>
      <c r="V119" s="21">
        <f>SUMIFS('Projections by County'!$D$10:$D$36,'Projections by County'!$A$10:$A$36,$B119,'Projections by County'!$C$10:$C$36,"Natural Gas",'Projections by County'!$B$10:$B$36,"Commercial")</f>
        <v>1213025.5649999999</v>
      </c>
      <c r="W119" s="116"/>
      <c r="X119" s="116">
        <f>IFERROR(SUMIF('nres bld data'!$V$3:$V$254,"="&amp;$B119&amp;$C119&amp;$D119,'nres bld data'!P$3:P$254)/SUMIF('nres bld data'!$V$3:$V$254,"="&amp;$B119&amp;$C119&amp;$D119,'nres bld data'!$T$3:$T$254),0)</f>
        <v>0</v>
      </c>
      <c r="Y119" s="116">
        <f>IFERROR(SUMIF('nres bld data'!$V$3:$V$254,"="&amp;$B119&amp;$C119&amp;$D119,'nres bld data'!Q$3:Q$254)/SUMIF('nres bld data'!$V$3:$V$254,"="&amp;$B119&amp;$C119&amp;$D119,'nres bld data'!$T$3:$T$254),0)</f>
        <v>0</v>
      </c>
      <c r="AA119" s="116">
        <f ca="1">IFERROR(SUMIF('nres bld data'!$V$3:$V$254,"="&amp;$B119&amp;$C119&amp;$D119,'nres bld data'!P$3:P$254)/SUMIF('nres bld data'!$W$256:$W$297,"="&amp;$B119&amp;$C119,'nres bld data'!P$256:P$297),0)</f>
        <v>0</v>
      </c>
      <c r="AB119" s="116">
        <f ca="1">IFERROR(SUMIF('nres bld data'!$V$3:$V$254,"="&amp;$B119&amp;$C119&amp;$D119,'nres bld data'!Q$3:Q$254)/SUMIF('nres bld data'!$W$256:$W$297,"="&amp;$B119&amp;$C119,'nres bld data'!Q$256:Q$297),0)</f>
        <v>0</v>
      </c>
    </row>
    <row r="120" spans="2:28">
      <c r="B120" s="20" t="s">
        <v>9</v>
      </c>
      <c r="C120" s="20" t="s">
        <v>461</v>
      </c>
      <c r="D120" s="20" t="s">
        <v>440</v>
      </c>
      <c r="E120" s="55">
        <f t="shared" ca="1" si="0"/>
        <v>0</v>
      </c>
      <c r="F120" s="55">
        <f t="shared" ca="1" si="1"/>
        <v>0</v>
      </c>
      <c r="G120" s="21">
        <f>IFERROR(SUMIF('nres bld data'!$A$3:$A$38,B120&amp;C120,'nres bld data'!$D$3:$D$38),0)</f>
        <v>0</v>
      </c>
      <c r="H120" s="21">
        <f t="shared" ref="H120:I120" ca="1" si="124">$T120*U120</f>
        <v>0</v>
      </c>
      <c r="I120" s="21">
        <f t="shared" ca="1" si="124"/>
        <v>0</v>
      </c>
      <c r="J120" s="21"/>
      <c r="K120" s="21"/>
      <c r="S120" s="115"/>
      <c r="T120" s="22">
        <f ca="1">G120/SUMIF('nres bld data'!$B$3:$B$38,$B120,'nres bld data'!$D$3:$D$38)</f>
        <v>0</v>
      </c>
      <c r="U120" s="21">
        <f>SUMIFS('Projections by County'!$D$10:$D$36,'Projections by County'!$A$10:$A$36,$B120,'Projections by County'!$C$10:$C$36,"Electricity (kWh)",'Projections by County'!$B$10:$B$36,"Commercial")*BTU_per_kWh/1000000</f>
        <v>1014316.6930349399</v>
      </c>
      <c r="V120" s="21">
        <f>SUMIFS('Projections by County'!$D$10:$D$36,'Projections by County'!$A$10:$A$36,$B120,'Projections by County'!$C$10:$C$36,"Natural Gas",'Projections by County'!$B$10:$B$36,"Commercial")</f>
        <v>1213025.5649999999</v>
      </c>
      <c r="W120" s="116"/>
      <c r="X120" s="116">
        <f>IFERROR(SUMIF('nres bld data'!$V$3:$V$254,"="&amp;$B120&amp;$C120&amp;$D120,'nres bld data'!P$3:P$254)/SUMIF('nres bld data'!$V$3:$V$254,"="&amp;$B120&amp;$C120&amp;$D120,'nres bld data'!$T$3:$T$254),0)</f>
        <v>0</v>
      </c>
      <c r="Y120" s="116">
        <f>IFERROR(SUMIF('nres bld data'!$V$3:$V$254,"="&amp;$B120&amp;$C120&amp;$D120,'nres bld data'!Q$3:Q$254)/SUMIF('nres bld data'!$V$3:$V$254,"="&amp;$B120&amp;$C120&amp;$D120,'nres bld data'!$T$3:$T$254),0)</f>
        <v>0</v>
      </c>
      <c r="AA120" s="116">
        <f ca="1">IFERROR(SUMIF('nres bld data'!$V$3:$V$254,"="&amp;$B120&amp;$C120&amp;$D120,'nres bld data'!P$3:P$254)/SUMIF('nres bld data'!$W$256:$W$297,"="&amp;$B120&amp;$C120,'nres bld data'!P$256:P$297),0)</f>
        <v>0</v>
      </c>
      <c r="AB120" s="116">
        <f ca="1">IFERROR(SUMIF('nres bld data'!$V$3:$V$254,"="&amp;$B120&amp;$C120&amp;$D120,'nres bld data'!Q$3:Q$254)/SUMIF('nres bld data'!$W$256:$W$297,"="&amp;$B120&amp;$C120,'nres bld data'!Q$256:Q$297),0)</f>
        <v>0</v>
      </c>
    </row>
    <row r="121" spans="2:28">
      <c r="B121" s="20" t="s">
        <v>9</v>
      </c>
      <c r="C121" s="20" t="s">
        <v>461</v>
      </c>
      <c r="D121" s="20" t="s">
        <v>443</v>
      </c>
      <c r="E121" s="55">
        <f t="shared" ca="1" si="0"/>
        <v>0</v>
      </c>
      <c r="F121" s="55">
        <f t="shared" ca="1" si="1"/>
        <v>0</v>
      </c>
      <c r="G121" s="21">
        <f>IFERROR(SUMIF('nres bld data'!$A$3:$A$38,B121&amp;C121,'nres bld data'!$D$3:$D$38),0)</f>
        <v>0</v>
      </c>
      <c r="H121" s="21">
        <f t="shared" ref="H121:I121" ca="1" si="125">$T121*U121</f>
        <v>0</v>
      </c>
      <c r="I121" s="21">
        <f t="shared" ca="1" si="125"/>
        <v>0</v>
      </c>
      <c r="J121" s="21"/>
      <c r="K121" s="21"/>
      <c r="S121" s="115"/>
      <c r="T121" s="22">
        <f ca="1">G121/SUMIF('nres bld data'!$B$3:$B$38,$B121,'nres bld data'!$D$3:$D$38)</f>
        <v>0</v>
      </c>
      <c r="U121" s="21">
        <f>SUMIFS('Projections by County'!$D$10:$D$36,'Projections by County'!$A$10:$A$36,$B121,'Projections by County'!$C$10:$C$36,"Electricity (kWh)",'Projections by County'!$B$10:$B$36,"Commercial")*BTU_per_kWh/1000000</f>
        <v>1014316.6930349399</v>
      </c>
      <c r="V121" s="21">
        <f>SUMIFS('Projections by County'!$D$10:$D$36,'Projections by County'!$A$10:$A$36,$B121,'Projections by County'!$C$10:$C$36,"Natural Gas",'Projections by County'!$B$10:$B$36,"Commercial")</f>
        <v>1213025.5649999999</v>
      </c>
      <c r="W121" s="116"/>
      <c r="X121" s="116">
        <f>IFERROR(SUMIF('nres bld data'!$V$3:$V$254,"="&amp;$B121&amp;$C121&amp;$D121,'nres bld data'!P$3:P$254)/SUMIF('nres bld data'!$V$3:$V$254,"="&amp;$B121&amp;$C121&amp;$D121,'nres bld data'!$T$3:$T$254),0)</f>
        <v>0</v>
      </c>
      <c r="Y121" s="116">
        <f>IFERROR(SUMIF('nres bld data'!$V$3:$V$254,"="&amp;$B121&amp;$C121&amp;$D121,'nres bld data'!Q$3:Q$254)/SUMIF('nres bld data'!$V$3:$V$254,"="&amp;$B121&amp;$C121&amp;$D121,'nres bld data'!$T$3:$T$254),0)</f>
        <v>0</v>
      </c>
      <c r="AA121" s="116">
        <f ca="1">IFERROR(SUMIF('nres bld data'!$V$3:$V$254,"="&amp;$B121&amp;$C121&amp;$D121,'nres bld data'!P$3:P$254)/SUMIF('nres bld data'!$W$256:$W$297,"="&amp;$B121&amp;$C121,'nres bld data'!P$256:P$297),0)</f>
        <v>0</v>
      </c>
      <c r="AB121" s="116">
        <f ca="1">IFERROR(SUMIF('nres bld data'!$V$3:$V$254,"="&amp;$B121&amp;$C121&amp;$D121,'nres bld data'!Q$3:Q$254)/SUMIF('nres bld data'!$W$256:$W$297,"="&amp;$B121&amp;$C121,'nres bld data'!Q$256:Q$297),0)</f>
        <v>0</v>
      </c>
    </row>
    <row r="122" spans="2:28">
      <c r="B122" s="20" t="s">
        <v>9</v>
      </c>
      <c r="C122" s="20" t="s">
        <v>461</v>
      </c>
      <c r="D122" s="20" t="s">
        <v>445</v>
      </c>
      <c r="E122" s="55">
        <f t="shared" ca="1" si="0"/>
        <v>0</v>
      </c>
      <c r="F122" s="55">
        <f t="shared" ca="1" si="1"/>
        <v>0</v>
      </c>
      <c r="G122" s="21">
        <f>IFERROR(SUMIF('nres bld data'!$A$3:$A$38,B122&amp;C122,'nres bld data'!$D$3:$D$38),0)</f>
        <v>0</v>
      </c>
      <c r="H122" s="21">
        <f t="shared" ref="H122:I122" ca="1" si="126">$T122*U122</f>
        <v>0</v>
      </c>
      <c r="I122" s="21">
        <f t="shared" ca="1" si="126"/>
        <v>0</v>
      </c>
      <c r="J122" s="21"/>
      <c r="K122" s="21"/>
      <c r="S122" s="115"/>
      <c r="T122" s="22">
        <f ca="1">G122/SUMIF('nres bld data'!$B$3:$B$38,$B122,'nres bld data'!$D$3:$D$38)</f>
        <v>0</v>
      </c>
      <c r="U122" s="21">
        <f>SUMIFS('Projections by County'!$D$10:$D$36,'Projections by County'!$A$10:$A$36,$B122,'Projections by County'!$C$10:$C$36,"Electricity (kWh)",'Projections by County'!$B$10:$B$36,"Commercial")*BTU_per_kWh/1000000</f>
        <v>1014316.6930349399</v>
      </c>
      <c r="V122" s="21">
        <f>SUMIFS('Projections by County'!$D$10:$D$36,'Projections by County'!$A$10:$A$36,$B122,'Projections by County'!$C$10:$C$36,"Natural Gas",'Projections by County'!$B$10:$B$36,"Commercial")</f>
        <v>1213025.5649999999</v>
      </c>
      <c r="W122" s="116"/>
      <c r="X122" s="116">
        <f>IFERROR(SUMIF('nres bld data'!$V$3:$V$254,"="&amp;$B122&amp;$C122&amp;$D122,'nres bld data'!P$3:P$254)/SUMIF('nres bld data'!$V$3:$V$254,"="&amp;$B122&amp;$C122&amp;$D122,'nres bld data'!$T$3:$T$254),0)</f>
        <v>0</v>
      </c>
      <c r="Y122" s="116">
        <f>IFERROR(SUMIF('nres bld data'!$V$3:$V$254,"="&amp;$B122&amp;$C122&amp;$D122,'nres bld data'!Q$3:Q$254)/SUMIF('nres bld data'!$V$3:$V$254,"="&amp;$B122&amp;$C122&amp;$D122,'nres bld data'!$T$3:$T$254),0)</f>
        <v>0</v>
      </c>
      <c r="AA122" s="116">
        <f ca="1">IFERROR(SUMIF('nres bld data'!$V$3:$V$254,"="&amp;$B122&amp;$C122&amp;$D122,'nres bld data'!P$3:P$254)/SUMIF('nres bld data'!$W$256:$W$297,"="&amp;$B122&amp;$C122,'nres bld data'!P$256:P$297),0)</f>
        <v>0</v>
      </c>
      <c r="AB122" s="116">
        <f ca="1">IFERROR(SUMIF('nres bld data'!$V$3:$V$254,"="&amp;$B122&amp;$C122&amp;$D122,'nres bld data'!Q$3:Q$254)/SUMIF('nres bld data'!$W$256:$W$297,"="&amp;$B122&amp;$C122,'nres bld data'!Q$256:Q$297),0)</f>
        <v>0</v>
      </c>
    </row>
    <row r="123" spans="2:28">
      <c r="B123" s="20" t="s">
        <v>9</v>
      </c>
      <c r="C123" s="20" t="s">
        <v>446</v>
      </c>
      <c r="D123" s="20" t="s">
        <v>429</v>
      </c>
      <c r="E123" s="55">
        <f t="shared" ca="1" si="0"/>
        <v>3.1524033853870012E-3</v>
      </c>
      <c r="F123" s="55">
        <f t="shared" ca="1" si="1"/>
        <v>4.3127844024704563E-3</v>
      </c>
      <c r="G123" s="21">
        <f ca="1">IFERROR(SUMIF('nres bld data'!$A$3:$A$38,B123&amp;C123,'nres bld data'!$D$3:$D$38),0)</f>
        <v>3158100</v>
      </c>
      <c r="H123" s="21">
        <f t="shared" ref="H123:I123" ca="1" si="127">$T123*U123</f>
        <v>107817.57222342043</v>
      </c>
      <c r="I123" s="21">
        <f t="shared" ca="1" si="127"/>
        <v>128939.48444436942</v>
      </c>
      <c r="J123" s="21"/>
      <c r="K123" s="21"/>
      <c r="S123" s="115"/>
      <c r="T123" s="22">
        <f ca="1">G123/SUMIF('nres bld data'!$B$3:$B$38,$B123,'nres bld data'!$D$3:$D$38)</f>
        <v>0.10629576833722332</v>
      </c>
      <c r="U123" s="21">
        <f>SUMIFS('Projections by County'!$D$10:$D$36,'Projections by County'!$A$10:$A$36,$B123,'Projections by County'!$C$10:$C$36,"Electricity (kWh)",'Projections by County'!$B$10:$B$36,"Commercial")*BTU_per_kWh/1000000</f>
        <v>1014316.6930349399</v>
      </c>
      <c r="V123" s="21">
        <f>SUMIFS('Projections by County'!$D$10:$D$36,'Projections by County'!$A$10:$A$36,$B123,'Projections by County'!$C$10:$C$36,"Natural Gas",'Projections by County'!$B$10:$B$36,"Commercial")</f>
        <v>1213025.5649999999</v>
      </c>
      <c r="W123" s="116"/>
      <c r="X123" s="116">
        <f>IFERROR(SUMIF('nres bld data'!$V$3:$V$254,"="&amp;$B123&amp;$C123&amp;$D123,'nres bld data'!P$3:P$254)/SUMIF('nres bld data'!$V$3:$V$254,"="&amp;$B123&amp;$C123&amp;$D123,'nres bld data'!$T$3:$T$254),0)</f>
        <v>0.45939895272783177</v>
      </c>
      <c r="Y123" s="116">
        <f>IFERROR(SUMIF('nres bld data'!$V$3:$V$254,"="&amp;$B123&amp;$C123&amp;$D123,'nres bld data'!Q$3:Q$254)/SUMIF('nres bld data'!$V$3:$V$254,"="&amp;$B123&amp;$C123&amp;$D123,'nres bld data'!$T$3:$T$254),0)</f>
        <v>0.5406010472721684</v>
      </c>
      <c r="AA123" s="116">
        <f ca="1">IFERROR(SUMIF('nres bld data'!$V$3:$V$254,"="&amp;$B123&amp;$C123&amp;$D123,'nres bld data'!P$3:P$254)/SUMIF('nres bld data'!$W$256:$W$297,"="&amp;$B123&amp;$C123,'nres bld data'!P$256:P$297),0)</f>
        <v>9.2337500521349189E-2</v>
      </c>
      <c r="AB123" s="116">
        <f ca="1">IFERROR(SUMIF('nres bld data'!$V$3:$V$254,"="&amp;$B123&amp;$C123&amp;$D123,'nres bld data'!Q$3:Q$254)/SUMIF('nres bld data'!$W$256:$W$297,"="&amp;$B123&amp;$C123,'nres bld data'!Q$256:Q$297),0)</f>
        <v>0.10563253358840867</v>
      </c>
    </row>
    <row r="124" spans="2:28">
      <c r="B124" s="20" t="s">
        <v>9</v>
      </c>
      <c r="C124" s="20" t="s">
        <v>446</v>
      </c>
      <c r="D124" s="20" t="s">
        <v>433</v>
      </c>
      <c r="E124" s="55">
        <f t="shared" ca="1" si="0"/>
        <v>1.0243709367025271E-2</v>
      </c>
      <c r="F124" s="55">
        <f t="shared" ca="1" si="1"/>
        <v>0</v>
      </c>
      <c r="G124" s="21">
        <f ca="1">IFERROR(SUMIF('nres bld data'!$A$3:$A$38,B124&amp;C124,'nres bld data'!$D$3:$D$38),0)</f>
        <v>3158100</v>
      </c>
      <c r="H124" s="21">
        <f t="shared" ref="H124:I124" ca="1" si="128">$T124*U124</f>
        <v>107817.57222342043</v>
      </c>
      <c r="I124" s="21">
        <f t="shared" ca="1" si="128"/>
        <v>128939.48444436942</v>
      </c>
      <c r="J124" s="21"/>
      <c r="K124" s="21"/>
      <c r="S124" s="115"/>
      <c r="T124" s="22">
        <f ca="1">G124/SUMIF('nres bld data'!$B$3:$B$38,$B124,'nres bld data'!$D$3:$D$38)</f>
        <v>0.10629576833722332</v>
      </c>
      <c r="U124" s="21">
        <f>SUMIFS('Projections by County'!$D$10:$D$36,'Projections by County'!$A$10:$A$36,$B124,'Projections by County'!$C$10:$C$36,"Electricity (kWh)",'Projections by County'!$B$10:$B$36,"Commercial")*BTU_per_kWh/1000000</f>
        <v>1014316.6930349399</v>
      </c>
      <c r="V124" s="21">
        <f>SUMIFS('Projections by County'!$D$10:$D$36,'Projections by County'!$A$10:$A$36,$B124,'Projections by County'!$C$10:$C$36,"Natural Gas",'Projections by County'!$B$10:$B$36,"Commercial")</f>
        <v>1213025.5649999999</v>
      </c>
      <c r="W124" s="116"/>
      <c r="X124" s="116">
        <f>IFERROR(SUMIF('nres bld data'!$V$3:$V$254,"="&amp;$B124&amp;$C124&amp;$D124,'nres bld data'!P$3:P$254)/SUMIF('nres bld data'!$V$3:$V$254,"="&amp;$B124&amp;$C124&amp;$D124,'nres bld data'!$T$3:$T$254),0)</f>
        <v>1</v>
      </c>
      <c r="Y124" s="116">
        <f>IFERROR(SUMIF('nres bld data'!$V$3:$V$254,"="&amp;$B124&amp;$C124&amp;$D124,'nres bld data'!Q$3:Q$254)/SUMIF('nres bld data'!$V$3:$V$254,"="&amp;$B124&amp;$C124&amp;$D124,'nres bld data'!$T$3:$T$254),0)</f>
        <v>0</v>
      </c>
      <c r="AA124" s="116">
        <f ca="1">IFERROR(SUMIF('nres bld data'!$V$3:$V$254,"="&amp;$B124&amp;$C124&amp;$D124,'nres bld data'!P$3:P$254)/SUMIF('nres bld data'!$W$256:$W$297,"="&amp;$B124&amp;$C124,'nres bld data'!P$256:P$297),0)</f>
        <v>0.30004996295933301</v>
      </c>
      <c r="AB124" s="116">
        <f ca="1">IFERROR(SUMIF('nres bld data'!$V$3:$V$254,"="&amp;$B124&amp;$C124&amp;$D124,'nres bld data'!Q$3:Q$254)/SUMIF('nres bld data'!$W$256:$W$297,"="&amp;$B124&amp;$C124,'nres bld data'!Q$256:Q$297),0)</f>
        <v>0</v>
      </c>
    </row>
    <row r="125" spans="2:28">
      <c r="B125" s="20" t="s">
        <v>9</v>
      </c>
      <c r="C125" s="20" t="s">
        <v>446</v>
      </c>
      <c r="D125" s="20" t="s">
        <v>437</v>
      </c>
      <c r="E125" s="55">
        <f t="shared" ca="1" si="0"/>
        <v>1.362038855771251E-2</v>
      </c>
      <c r="F125" s="55">
        <f t="shared" ca="1" si="1"/>
        <v>0</v>
      </c>
      <c r="G125" s="21">
        <f ca="1">IFERROR(SUMIF('nres bld data'!$A$3:$A$38,B125&amp;C125,'nres bld data'!$D$3:$D$38),0)</f>
        <v>3158100</v>
      </c>
      <c r="H125" s="21">
        <f t="shared" ref="H125:I125" ca="1" si="129">$T125*U125</f>
        <v>107817.57222342043</v>
      </c>
      <c r="I125" s="21">
        <f t="shared" ca="1" si="129"/>
        <v>128939.48444436942</v>
      </c>
      <c r="J125" s="21"/>
      <c r="K125" s="21"/>
      <c r="S125" s="115"/>
      <c r="T125" s="22">
        <f ca="1">G125/SUMIF('nres bld data'!$B$3:$B$38,$B125,'nres bld data'!$D$3:$D$38)</f>
        <v>0.10629576833722332</v>
      </c>
      <c r="U125" s="21">
        <f>SUMIFS('Projections by County'!$D$10:$D$36,'Projections by County'!$A$10:$A$36,$B125,'Projections by County'!$C$10:$C$36,"Electricity (kWh)",'Projections by County'!$B$10:$B$36,"Commercial")*BTU_per_kWh/1000000</f>
        <v>1014316.6930349399</v>
      </c>
      <c r="V125" s="21">
        <f>SUMIFS('Projections by County'!$D$10:$D$36,'Projections by County'!$A$10:$A$36,$B125,'Projections by County'!$C$10:$C$36,"Natural Gas",'Projections by County'!$B$10:$B$36,"Commercial")</f>
        <v>1213025.5649999999</v>
      </c>
      <c r="W125" s="116"/>
      <c r="X125" s="116">
        <f>IFERROR(SUMIF('nres bld data'!$V$3:$V$254,"="&amp;$B125&amp;$C125&amp;$D125,'nres bld data'!P$3:P$254)/SUMIF('nres bld data'!$V$3:$V$254,"="&amp;$B125&amp;$C125&amp;$D125,'nres bld data'!$T$3:$T$254),0)</f>
        <v>1</v>
      </c>
      <c r="Y125" s="116">
        <f>IFERROR(SUMIF('nres bld data'!$V$3:$V$254,"="&amp;$B125&amp;$C125&amp;$D125,'nres bld data'!Q$3:Q$254)/SUMIF('nres bld data'!$V$3:$V$254,"="&amp;$B125&amp;$C125&amp;$D125,'nres bld data'!$T$3:$T$254),0)</f>
        <v>0</v>
      </c>
      <c r="AA125" s="116">
        <f ca="1">IFERROR(SUMIF('nres bld data'!$V$3:$V$254,"="&amp;$B125&amp;$C125&amp;$D125,'nres bld data'!P$3:P$254)/SUMIF('nres bld data'!$W$256:$W$297,"="&amp;$B125&amp;$C125,'nres bld data'!P$256:P$297),0)</f>
        <v>0.39895675831929128</v>
      </c>
      <c r="AB125" s="116">
        <f ca="1">IFERROR(SUMIF('nres bld data'!$V$3:$V$254,"="&amp;$B125&amp;$C125&amp;$D125,'nres bld data'!Q$3:Q$254)/SUMIF('nres bld data'!$W$256:$W$297,"="&amp;$B125&amp;$C125,'nres bld data'!Q$256:Q$297),0)</f>
        <v>0</v>
      </c>
    </row>
    <row r="126" spans="2:28">
      <c r="B126" s="20" t="s">
        <v>9</v>
      </c>
      <c r="C126" s="20" t="s">
        <v>446</v>
      </c>
      <c r="D126" s="20" t="s">
        <v>440</v>
      </c>
      <c r="E126" s="55">
        <f t="shared" ca="1" si="0"/>
        <v>4.4374941323840518E-3</v>
      </c>
      <c r="F126" s="55">
        <f t="shared" ca="1" si="1"/>
        <v>0</v>
      </c>
      <c r="G126" s="21">
        <f ca="1">IFERROR(SUMIF('nres bld data'!$A$3:$A$38,B126&amp;C126,'nres bld data'!$D$3:$D$38),0)</f>
        <v>3158100</v>
      </c>
      <c r="H126" s="21">
        <f t="shared" ref="H126:I126" ca="1" si="130">$T126*U126</f>
        <v>107817.57222342043</v>
      </c>
      <c r="I126" s="21">
        <f t="shared" ca="1" si="130"/>
        <v>128939.48444436942</v>
      </c>
      <c r="J126" s="21"/>
      <c r="K126" s="21"/>
      <c r="S126" s="115"/>
      <c r="T126" s="22">
        <f ca="1">G126/SUMIF('nres bld data'!$B$3:$B$38,$B126,'nres bld data'!$D$3:$D$38)</f>
        <v>0.10629576833722332</v>
      </c>
      <c r="U126" s="21">
        <f>SUMIFS('Projections by County'!$D$10:$D$36,'Projections by County'!$A$10:$A$36,$B126,'Projections by County'!$C$10:$C$36,"Electricity (kWh)",'Projections by County'!$B$10:$B$36,"Commercial")*BTU_per_kWh/1000000</f>
        <v>1014316.6930349399</v>
      </c>
      <c r="V126" s="21">
        <f>SUMIFS('Projections by County'!$D$10:$D$36,'Projections by County'!$A$10:$A$36,$B126,'Projections by County'!$C$10:$C$36,"Natural Gas",'Projections by County'!$B$10:$B$36,"Commercial")</f>
        <v>1213025.5649999999</v>
      </c>
      <c r="W126" s="116"/>
      <c r="X126" s="116">
        <f>IFERROR(SUMIF('nres bld data'!$V$3:$V$254,"="&amp;$B126&amp;$C126&amp;$D126,'nres bld data'!P$3:P$254)/SUMIF('nres bld data'!$V$3:$V$254,"="&amp;$B126&amp;$C126&amp;$D126,'nres bld data'!$T$3:$T$254),0)</f>
        <v>1</v>
      </c>
      <c r="Y126" s="116">
        <f>IFERROR(SUMIF('nres bld data'!$V$3:$V$254,"="&amp;$B126&amp;$C126&amp;$D126,'nres bld data'!Q$3:Q$254)/SUMIF('nres bld data'!$V$3:$V$254,"="&amp;$B126&amp;$C126&amp;$D126,'nres bld data'!$T$3:$T$254),0)</f>
        <v>0</v>
      </c>
      <c r="AA126" s="116">
        <f ca="1">IFERROR(SUMIF('nres bld data'!$V$3:$V$254,"="&amp;$B126&amp;$C126&amp;$D126,'nres bld data'!P$3:P$254)/SUMIF('nres bld data'!$W$256:$W$297,"="&amp;$B126&amp;$C126,'nres bld data'!P$256:P$297),0)</f>
        <v>0.12997927824271582</v>
      </c>
      <c r="AB126" s="116">
        <f ca="1">IFERROR(SUMIF('nres bld data'!$V$3:$V$254,"="&amp;$B126&amp;$C126&amp;$D126,'nres bld data'!Q$3:Q$254)/SUMIF('nres bld data'!$W$256:$W$297,"="&amp;$B126&amp;$C126,'nres bld data'!Q$256:Q$297),0)</f>
        <v>0</v>
      </c>
    </row>
    <row r="127" spans="2:28">
      <c r="B127" s="20" t="s">
        <v>9</v>
      </c>
      <c r="C127" s="20" t="s">
        <v>446</v>
      </c>
      <c r="D127" s="20" t="s">
        <v>443</v>
      </c>
      <c r="E127" s="55">
        <f t="shared" ca="1" si="0"/>
        <v>0</v>
      </c>
      <c r="F127" s="55">
        <f t="shared" ca="1" si="1"/>
        <v>3.3657699636606898E-2</v>
      </c>
      <c r="G127" s="21">
        <f ca="1">IFERROR(SUMIF('nres bld data'!$A$3:$A$38,B127&amp;C127,'nres bld data'!$D$3:$D$38),0)</f>
        <v>3158100</v>
      </c>
      <c r="H127" s="21">
        <f t="shared" ref="H127:I127" ca="1" si="131">$T127*U127</f>
        <v>107817.57222342043</v>
      </c>
      <c r="I127" s="21">
        <f t="shared" ca="1" si="131"/>
        <v>128939.48444436942</v>
      </c>
      <c r="J127" s="21"/>
      <c r="K127" s="21"/>
      <c r="S127" s="115"/>
      <c r="T127" s="22">
        <f ca="1">G127/SUMIF('nres bld data'!$B$3:$B$38,$B127,'nres bld data'!$D$3:$D$38)</f>
        <v>0.10629576833722332</v>
      </c>
      <c r="U127" s="21">
        <f>SUMIFS('Projections by County'!$D$10:$D$36,'Projections by County'!$A$10:$A$36,$B127,'Projections by County'!$C$10:$C$36,"Electricity (kWh)",'Projections by County'!$B$10:$B$36,"Commercial")*BTU_per_kWh/1000000</f>
        <v>1014316.6930349399</v>
      </c>
      <c r="V127" s="21">
        <f>SUMIFS('Projections by County'!$D$10:$D$36,'Projections by County'!$A$10:$A$36,$B127,'Projections by County'!$C$10:$C$36,"Natural Gas",'Projections by County'!$B$10:$B$36,"Commercial")</f>
        <v>1213025.5649999999</v>
      </c>
      <c r="W127" s="116"/>
      <c r="X127" s="116">
        <f>IFERROR(SUMIF('nres bld data'!$V$3:$V$254,"="&amp;$B127&amp;$C127&amp;$D127,'nres bld data'!P$3:P$254)/SUMIF('nres bld data'!$V$3:$V$254,"="&amp;$B127&amp;$C127&amp;$D127,'nres bld data'!$T$3:$T$254),0)</f>
        <v>0</v>
      </c>
      <c r="Y127" s="116">
        <f>IFERROR(SUMIF('nres bld data'!$V$3:$V$254,"="&amp;$B127&amp;$C127&amp;$D127,'nres bld data'!Q$3:Q$254)/SUMIF('nres bld data'!$V$3:$V$254,"="&amp;$B127&amp;$C127&amp;$D127,'nres bld data'!$T$3:$T$254),0)</f>
        <v>1</v>
      </c>
      <c r="AA127" s="116">
        <f ca="1">IFERROR(SUMIF('nres bld data'!$V$3:$V$254,"="&amp;$B127&amp;$C127&amp;$D127,'nres bld data'!P$3:P$254)/SUMIF('nres bld data'!$W$256:$W$297,"="&amp;$B127&amp;$C127,'nres bld data'!P$256:P$297),0)</f>
        <v>0</v>
      </c>
      <c r="AB127" s="116">
        <f ca="1">IFERROR(SUMIF('nres bld data'!$V$3:$V$254,"="&amp;$B127&amp;$C127&amp;$D127,'nres bld data'!Q$3:Q$254)/SUMIF('nres bld data'!$W$256:$W$297,"="&amp;$B127&amp;$C127,'nres bld data'!Q$256:Q$297),0)</f>
        <v>0.82437417584237871</v>
      </c>
    </row>
    <row r="128" spans="2:28">
      <c r="B128" s="20" t="s">
        <v>9</v>
      </c>
      <c r="C128" s="20" t="s">
        <v>446</v>
      </c>
      <c r="D128" s="20" t="s">
        <v>445</v>
      </c>
      <c r="E128" s="55">
        <f t="shared" ca="1" si="0"/>
        <v>2.6860166607875864E-3</v>
      </c>
      <c r="F128" s="55">
        <f t="shared" ca="1" si="1"/>
        <v>2.8576988697505508E-3</v>
      </c>
      <c r="G128" s="21">
        <f ca="1">IFERROR(SUMIF('nres bld data'!$A$3:$A$38,B128&amp;C128,'nres bld data'!$D$3:$D$38),0)</f>
        <v>3158100</v>
      </c>
      <c r="H128" s="21">
        <f t="shared" ref="H128:I128" ca="1" si="132">$T128*U128</f>
        <v>107817.57222342043</v>
      </c>
      <c r="I128" s="21">
        <f t="shared" ca="1" si="132"/>
        <v>128939.48444436942</v>
      </c>
      <c r="J128" s="21"/>
      <c r="K128" s="21"/>
      <c r="S128" s="115"/>
      <c r="T128" s="22">
        <f ca="1">G128/SUMIF('nres bld data'!$B$3:$B$38,$B128,'nres bld data'!$D$3:$D$38)</f>
        <v>0.10629576833722332</v>
      </c>
      <c r="U128" s="21">
        <f>SUMIFS('Projections by County'!$D$10:$D$36,'Projections by County'!$A$10:$A$36,$B128,'Projections by County'!$C$10:$C$36,"Electricity (kWh)",'Projections by County'!$B$10:$B$36,"Commercial")*BTU_per_kWh/1000000</f>
        <v>1014316.6930349399</v>
      </c>
      <c r="V128" s="21">
        <f>SUMIFS('Projections by County'!$D$10:$D$36,'Projections by County'!$A$10:$A$36,$B128,'Projections by County'!$C$10:$C$36,"Natural Gas",'Projections by County'!$B$10:$B$36,"Commercial")</f>
        <v>1213025.5649999999</v>
      </c>
      <c r="W128" s="116"/>
      <c r="X128" s="116">
        <f>IFERROR(SUMIF('nres bld data'!$V$3:$V$254,"="&amp;$B128&amp;$C128&amp;$D128,'nres bld data'!P$3:P$254)/SUMIF('nres bld data'!$V$3:$V$254,"="&amp;$B128&amp;$C128&amp;$D128,'nres bld data'!$T$3:$T$254),0)</f>
        <v>0.52216012767924158</v>
      </c>
      <c r="Y128" s="116">
        <f>IFERROR(SUMIF('nres bld data'!$V$3:$V$254,"="&amp;$B128&amp;$C128&amp;$D128,'nres bld data'!Q$3:Q$254)/SUMIF('nres bld data'!$V$3:$V$254,"="&amp;$B128&amp;$C128&amp;$D128,'nres bld data'!$T$3:$T$254),0)</f>
        <v>0.47783987232075836</v>
      </c>
      <c r="AA128" s="116">
        <f ca="1">IFERROR(SUMIF('nres bld data'!$V$3:$V$254,"="&amp;$B128&amp;$C128&amp;$D128,'nres bld data'!P$3:P$254)/SUMIF('nres bld data'!$W$256:$W$297,"="&amp;$B128&amp;$C128,'nres bld data'!P$256:P$297),0)</f>
        <v>7.8676499957310672E-2</v>
      </c>
      <c r="AB128" s="116">
        <f ca="1">IFERROR(SUMIF('nres bld data'!$V$3:$V$254,"="&amp;$B128&amp;$C128&amp;$D128,'nres bld data'!Q$3:Q$254)/SUMIF('nres bld data'!$W$256:$W$297,"="&amp;$B128&amp;$C128,'nres bld data'!Q$256:Q$297),0)</f>
        <v>6.999329056921258E-2</v>
      </c>
    </row>
    <row r="129" spans="2:28">
      <c r="B129" s="20" t="s">
        <v>9</v>
      </c>
      <c r="C129" s="20" t="s">
        <v>457</v>
      </c>
      <c r="D129" s="20" t="s">
        <v>429</v>
      </c>
      <c r="E129" s="55">
        <f t="shared" ca="1" si="0"/>
        <v>1.2080039140403504E-2</v>
      </c>
      <c r="F129" s="55">
        <f t="shared" ca="1" si="1"/>
        <v>2.9182680749773225E-2</v>
      </c>
      <c r="G129" s="21">
        <f ca="1">IFERROR(SUMIF('nres bld data'!$A$3:$A$38,B129&amp;C129,'nres bld data'!$D$3:$D$38),0)</f>
        <v>379426</v>
      </c>
      <c r="H129" s="21">
        <f t="shared" ref="H129:I129" ca="1" si="133">$T129*U129</f>
        <v>12953.608232305349</v>
      </c>
      <c r="I129" s="21">
        <f t="shared" ca="1" si="133"/>
        <v>15491.274128364937</v>
      </c>
      <c r="J129" s="21"/>
      <c r="K129" s="21"/>
      <c r="S129" s="115"/>
      <c r="T129" s="22">
        <f ca="1">G129/SUMIF('nres bld data'!$B$3:$B$38,$B129,'nres bld data'!$D$3:$D$38)</f>
        <v>1.2770772995509735E-2</v>
      </c>
      <c r="U129" s="21">
        <f>SUMIFS('Projections by County'!$D$10:$D$36,'Projections by County'!$A$10:$A$36,$B129,'Projections by County'!$C$10:$C$36,"Electricity (kWh)",'Projections by County'!$B$10:$B$36,"Commercial")*BTU_per_kWh/1000000</f>
        <v>1014316.6930349399</v>
      </c>
      <c r="V129" s="21">
        <f>SUMIFS('Projections by County'!$D$10:$D$36,'Projections by County'!$A$10:$A$36,$B129,'Projections by County'!$C$10:$C$36,"Natural Gas",'Projections by County'!$B$10:$B$36,"Commercial")</f>
        <v>1213025.5649999999</v>
      </c>
      <c r="W129" s="116"/>
      <c r="X129" s="116">
        <f>IFERROR(SUMIF('nres bld data'!$V$3:$V$254,"="&amp;$B129&amp;$C129&amp;$D129,'nres bld data'!P$3:P$254)/SUMIF('nres bld data'!$V$3:$V$254,"="&amp;$B129&amp;$C129&amp;$D129,'nres bld data'!$T$3:$T$254),0)</f>
        <v>0.21440817362793282</v>
      </c>
      <c r="Y129" s="116">
        <f>IFERROR(SUMIF('nres bld data'!$V$3:$V$254,"="&amp;$B129&amp;$C129&amp;$D129,'nres bld data'!Q$3:Q$254)/SUMIF('nres bld data'!$V$3:$V$254,"="&amp;$B129&amp;$C129&amp;$D129,'nres bld data'!$T$3:$T$254),0)</f>
        <v>0.78559182637206726</v>
      </c>
      <c r="AA129" s="116">
        <f ca="1">IFERROR(SUMIF('nres bld data'!$V$3:$V$254,"="&amp;$B129&amp;$C129&amp;$D129,'nres bld data'!P$3:P$254)/SUMIF('nres bld data'!$W$256:$W$297,"="&amp;$B129&amp;$C129,'nres bld data'!P$256:P$297),0)</f>
        <v>0.35383816220841652</v>
      </c>
      <c r="AB129" s="116">
        <f ca="1">IFERROR(SUMIF('nres bld data'!$V$3:$V$254,"="&amp;$B129&amp;$C129&amp;$D129,'nres bld data'!Q$3:Q$254)/SUMIF('nres bld data'!$W$256:$W$297,"="&amp;$B129&amp;$C129,'nres bld data'!Q$256:Q$297),0)</f>
        <v>0.71476805164070423</v>
      </c>
    </row>
    <row r="130" spans="2:28">
      <c r="B130" s="20" t="s">
        <v>9</v>
      </c>
      <c r="C130" s="20" t="s">
        <v>457</v>
      </c>
      <c r="D130" s="20" t="s">
        <v>433</v>
      </c>
      <c r="E130" s="55">
        <f t="shared" ca="1" si="0"/>
        <v>1.00365165855956E-2</v>
      </c>
      <c r="F130" s="55">
        <f t="shared" ca="1" si="1"/>
        <v>0</v>
      </c>
      <c r="G130" s="21">
        <f ca="1">IFERROR(SUMIF('nres bld data'!$A$3:$A$38,B130&amp;C130,'nres bld data'!$D$3:$D$38),0)</f>
        <v>379426</v>
      </c>
      <c r="H130" s="21">
        <f t="shared" ref="H130:I130" ca="1" si="134">$T130*U130</f>
        <v>12953.608232305349</v>
      </c>
      <c r="I130" s="21">
        <f t="shared" ca="1" si="134"/>
        <v>15491.274128364937</v>
      </c>
      <c r="J130" s="21"/>
      <c r="K130" s="21"/>
      <c r="S130" s="115"/>
      <c r="T130" s="22">
        <f ca="1">G130/SUMIF('nres bld data'!$B$3:$B$38,$B130,'nres bld data'!$D$3:$D$38)</f>
        <v>1.2770772995509735E-2</v>
      </c>
      <c r="U130" s="21">
        <f>SUMIFS('Projections by County'!$D$10:$D$36,'Projections by County'!$A$10:$A$36,$B130,'Projections by County'!$C$10:$C$36,"Electricity (kWh)",'Projections by County'!$B$10:$B$36,"Commercial")*BTU_per_kWh/1000000</f>
        <v>1014316.6930349399</v>
      </c>
      <c r="V130" s="21">
        <f>SUMIFS('Projections by County'!$D$10:$D$36,'Projections by County'!$A$10:$A$36,$B130,'Projections by County'!$C$10:$C$36,"Natural Gas",'Projections by County'!$B$10:$B$36,"Commercial")</f>
        <v>1213025.5649999999</v>
      </c>
      <c r="W130" s="116"/>
      <c r="X130" s="116">
        <f>IFERROR(SUMIF('nres bld data'!$V$3:$V$254,"="&amp;$B130&amp;$C130&amp;$D130,'nres bld data'!P$3:P$254)/SUMIF('nres bld data'!$V$3:$V$254,"="&amp;$B130&amp;$C130&amp;$D130,'nres bld data'!$T$3:$T$254),0)</f>
        <v>1</v>
      </c>
      <c r="Y130" s="116">
        <f>IFERROR(SUMIF('nres bld data'!$V$3:$V$254,"="&amp;$B130&amp;$C130&amp;$D130,'nres bld data'!Q$3:Q$254)/SUMIF('nres bld data'!$V$3:$V$254,"="&amp;$B130&amp;$C130&amp;$D130,'nres bld data'!$T$3:$T$254),0)</f>
        <v>0</v>
      </c>
      <c r="AA130" s="116">
        <f ca="1">IFERROR(SUMIF('nres bld data'!$V$3:$V$254,"="&amp;$B130&amp;$C130&amp;$D130,'nres bld data'!P$3:P$254)/SUMIF('nres bld data'!$W$256:$W$297,"="&amp;$B130&amp;$C130,'nres bld data'!P$256:P$297),0)</f>
        <v>0.29398104942752828</v>
      </c>
      <c r="AB130" s="116">
        <f ca="1">IFERROR(SUMIF('nres bld data'!$V$3:$V$254,"="&amp;$B130&amp;$C130&amp;$D130,'nres bld data'!Q$3:Q$254)/SUMIF('nres bld data'!$W$256:$W$297,"="&amp;$B130&amp;$C130,'nres bld data'!Q$256:Q$297),0)</f>
        <v>0</v>
      </c>
    </row>
    <row r="131" spans="2:28">
      <c r="B131" s="20" t="s">
        <v>9</v>
      </c>
      <c r="C131" s="20" t="s">
        <v>457</v>
      </c>
      <c r="D131" s="20" t="s">
        <v>437</v>
      </c>
      <c r="E131" s="55">
        <f t="shared" ca="1" si="0"/>
        <v>5.773185155206648E-3</v>
      </c>
      <c r="F131" s="55">
        <f t="shared" ca="1" si="1"/>
        <v>0</v>
      </c>
      <c r="G131" s="21">
        <f ca="1">IFERROR(SUMIF('nres bld data'!$A$3:$A$38,B131&amp;C131,'nres bld data'!$D$3:$D$38),0)</f>
        <v>379426</v>
      </c>
      <c r="H131" s="21">
        <f t="shared" ref="H131:I131" ca="1" si="135">$T131*U131</f>
        <v>12953.608232305349</v>
      </c>
      <c r="I131" s="21">
        <f t="shared" ca="1" si="135"/>
        <v>15491.274128364937</v>
      </c>
      <c r="J131" s="21"/>
      <c r="K131" s="21"/>
      <c r="S131" s="115"/>
      <c r="T131" s="22">
        <f ca="1">G131/SUMIF('nres bld data'!$B$3:$B$38,$B131,'nres bld data'!$D$3:$D$38)</f>
        <v>1.2770772995509735E-2</v>
      </c>
      <c r="U131" s="21">
        <f>SUMIFS('Projections by County'!$D$10:$D$36,'Projections by County'!$A$10:$A$36,$B131,'Projections by County'!$C$10:$C$36,"Electricity (kWh)",'Projections by County'!$B$10:$B$36,"Commercial")*BTU_per_kWh/1000000</f>
        <v>1014316.6930349399</v>
      </c>
      <c r="V131" s="21">
        <f>SUMIFS('Projections by County'!$D$10:$D$36,'Projections by County'!$A$10:$A$36,$B131,'Projections by County'!$C$10:$C$36,"Natural Gas",'Projections by County'!$B$10:$B$36,"Commercial")</f>
        <v>1213025.5649999999</v>
      </c>
      <c r="W131" s="116"/>
      <c r="X131" s="116">
        <f>IFERROR(SUMIF('nres bld data'!$V$3:$V$254,"="&amp;$B131&amp;$C131&amp;$D131,'nres bld data'!P$3:P$254)/SUMIF('nres bld data'!$V$3:$V$254,"="&amp;$B131&amp;$C131&amp;$D131,'nres bld data'!$T$3:$T$254),0)</f>
        <v>1</v>
      </c>
      <c r="Y131" s="116">
        <f>IFERROR(SUMIF('nres bld data'!$V$3:$V$254,"="&amp;$B131&amp;$C131&amp;$D131,'nres bld data'!Q$3:Q$254)/SUMIF('nres bld data'!$V$3:$V$254,"="&amp;$B131&amp;$C131&amp;$D131,'nres bld data'!$T$3:$T$254),0)</f>
        <v>0</v>
      </c>
      <c r="AA131" s="116">
        <f ca="1">IFERROR(SUMIF('nres bld data'!$V$3:$V$254,"="&amp;$B131&amp;$C131&amp;$D131,'nres bld data'!P$3:P$254)/SUMIF('nres bld data'!$W$256:$W$297,"="&amp;$B131&amp;$C131,'nres bld data'!P$256:P$297),0)</f>
        <v>0.16910319591389988</v>
      </c>
      <c r="AB131" s="116">
        <f ca="1">IFERROR(SUMIF('nres bld data'!$V$3:$V$254,"="&amp;$B131&amp;$C131&amp;$D131,'nres bld data'!Q$3:Q$254)/SUMIF('nres bld data'!$W$256:$W$297,"="&amp;$B131&amp;$C131,'nres bld data'!Q$256:Q$297),0)</f>
        <v>0</v>
      </c>
    </row>
    <row r="132" spans="2:28">
      <c r="B132" s="20" t="s">
        <v>9</v>
      </c>
      <c r="C132" s="20" t="s">
        <v>457</v>
      </c>
      <c r="D132" s="20" t="s">
        <v>440</v>
      </c>
      <c r="E132" s="55">
        <f t="shared" ca="1" si="0"/>
        <v>3.4013404940027754E-3</v>
      </c>
      <c r="F132" s="55">
        <f t="shared" ca="1" si="1"/>
        <v>0</v>
      </c>
      <c r="G132" s="21">
        <f ca="1">IFERROR(SUMIF('nres bld data'!$A$3:$A$38,B132&amp;C132,'nres bld data'!$D$3:$D$38),0)</f>
        <v>379426</v>
      </c>
      <c r="H132" s="21">
        <f t="shared" ref="H132:I132" ca="1" si="136">$T132*U132</f>
        <v>12953.608232305349</v>
      </c>
      <c r="I132" s="21">
        <f t="shared" ca="1" si="136"/>
        <v>15491.274128364937</v>
      </c>
      <c r="J132" s="21"/>
      <c r="K132" s="21"/>
      <c r="S132" s="115"/>
      <c r="T132" s="22">
        <f ca="1">G132/SUMIF('nres bld data'!$B$3:$B$38,$B132,'nres bld data'!$D$3:$D$38)</f>
        <v>1.2770772995509735E-2</v>
      </c>
      <c r="U132" s="21">
        <f>SUMIFS('Projections by County'!$D$10:$D$36,'Projections by County'!$A$10:$A$36,$B132,'Projections by County'!$C$10:$C$36,"Electricity (kWh)",'Projections by County'!$B$10:$B$36,"Commercial")*BTU_per_kWh/1000000</f>
        <v>1014316.6930349399</v>
      </c>
      <c r="V132" s="21">
        <f>SUMIFS('Projections by County'!$D$10:$D$36,'Projections by County'!$A$10:$A$36,$B132,'Projections by County'!$C$10:$C$36,"Natural Gas",'Projections by County'!$B$10:$B$36,"Commercial")</f>
        <v>1213025.5649999999</v>
      </c>
      <c r="W132" s="116"/>
      <c r="X132" s="116">
        <f>IFERROR(SUMIF('nres bld data'!$V$3:$V$254,"="&amp;$B132&amp;$C132&amp;$D132,'nres bld data'!P$3:P$254)/SUMIF('nres bld data'!$V$3:$V$254,"="&amp;$B132&amp;$C132&amp;$D132,'nres bld data'!$T$3:$T$254),0)</f>
        <v>1</v>
      </c>
      <c r="Y132" s="116">
        <f>IFERROR(SUMIF('nres bld data'!$V$3:$V$254,"="&amp;$B132&amp;$C132&amp;$D132,'nres bld data'!Q$3:Q$254)/SUMIF('nres bld data'!$V$3:$V$254,"="&amp;$B132&amp;$C132&amp;$D132,'nres bld data'!$T$3:$T$254),0)</f>
        <v>0</v>
      </c>
      <c r="AA132" s="116">
        <f ca="1">IFERROR(SUMIF('nres bld data'!$V$3:$V$254,"="&amp;$B132&amp;$C132&amp;$D132,'nres bld data'!P$3:P$254)/SUMIF('nres bld data'!$W$256:$W$297,"="&amp;$B132&amp;$C132,'nres bld data'!P$256:P$297),0)</f>
        <v>9.9629153138887011E-2</v>
      </c>
      <c r="AB132" s="116">
        <f ca="1">IFERROR(SUMIF('nres bld data'!$V$3:$V$254,"="&amp;$B132&amp;$C132&amp;$D132,'nres bld data'!Q$3:Q$254)/SUMIF('nres bld data'!$W$256:$W$297,"="&amp;$B132&amp;$C132,'nres bld data'!Q$256:Q$297),0)</f>
        <v>0</v>
      </c>
    </row>
    <row r="133" spans="2:28">
      <c r="B133" s="20" t="s">
        <v>9</v>
      </c>
      <c r="C133" s="20" t="s">
        <v>457</v>
      </c>
      <c r="D133" s="20" t="s">
        <v>443</v>
      </c>
      <c r="E133" s="55">
        <f t="shared" ca="1" si="0"/>
        <v>0</v>
      </c>
      <c r="F133" s="55">
        <f t="shared" ca="1" si="1"/>
        <v>9.7108066352459919E-3</v>
      </c>
      <c r="G133" s="21">
        <f ca="1">IFERROR(SUMIF('nres bld data'!$A$3:$A$38,B133&amp;C133,'nres bld data'!$D$3:$D$38),0)</f>
        <v>379426</v>
      </c>
      <c r="H133" s="21">
        <f t="shared" ref="H133:I133" ca="1" si="137">$T133*U133</f>
        <v>12953.608232305349</v>
      </c>
      <c r="I133" s="21">
        <f t="shared" ca="1" si="137"/>
        <v>15491.274128364937</v>
      </c>
      <c r="J133" s="21"/>
      <c r="K133" s="21"/>
      <c r="S133" s="115"/>
      <c r="T133" s="22">
        <f ca="1">G133/SUMIF('nres bld data'!$B$3:$B$38,$B133,'nres bld data'!$D$3:$D$38)</f>
        <v>1.2770772995509735E-2</v>
      </c>
      <c r="U133" s="21">
        <f>SUMIFS('Projections by County'!$D$10:$D$36,'Projections by County'!$A$10:$A$36,$B133,'Projections by County'!$C$10:$C$36,"Electricity (kWh)",'Projections by County'!$B$10:$B$36,"Commercial")*BTU_per_kWh/1000000</f>
        <v>1014316.6930349399</v>
      </c>
      <c r="V133" s="21">
        <f>SUMIFS('Projections by County'!$D$10:$D$36,'Projections by County'!$A$10:$A$36,$B133,'Projections by County'!$C$10:$C$36,"Natural Gas",'Projections by County'!$B$10:$B$36,"Commercial")</f>
        <v>1213025.5649999999</v>
      </c>
      <c r="W133" s="116"/>
      <c r="X133" s="116">
        <f>IFERROR(SUMIF('nres bld data'!$V$3:$V$254,"="&amp;$B133&amp;$C133&amp;$D133,'nres bld data'!P$3:P$254)/SUMIF('nres bld data'!$V$3:$V$254,"="&amp;$B133&amp;$C133&amp;$D133,'nres bld data'!$T$3:$T$254),0)</f>
        <v>0</v>
      </c>
      <c r="Y133" s="116">
        <f>IFERROR(SUMIF('nres bld data'!$V$3:$V$254,"="&amp;$B133&amp;$C133&amp;$D133,'nres bld data'!Q$3:Q$254)/SUMIF('nres bld data'!$V$3:$V$254,"="&amp;$B133&amp;$C133&amp;$D133,'nres bld data'!$T$3:$T$254),0)</f>
        <v>1</v>
      </c>
      <c r="AA133" s="116">
        <f ca="1">IFERROR(SUMIF('nres bld data'!$V$3:$V$254,"="&amp;$B133&amp;$C133&amp;$D133,'nres bld data'!P$3:P$254)/SUMIF('nres bld data'!$W$256:$W$297,"="&amp;$B133&amp;$C133,'nres bld data'!P$256:P$297),0)</f>
        <v>0</v>
      </c>
      <c r="AB133" s="116">
        <f ca="1">IFERROR(SUMIF('nres bld data'!$V$3:$V$254,"="&amp;$B133&amp;$C133&amp;$D133,'nres bld data'!Q$3:Q$254)/SUMIF('nres bld data'!$W$256:$W$297,"="&amp;$B133&amp;$C133,'nres bld data'!Q$256:Q$297),0)</f>
        <v>0.23784567285129685</v>
      </c>
    </row>
    <row r="134" spans="2:28">
      <c r="B134" s="20" t="s">
        <v>9</v>
      </c>
      <c r="C134" s="20" t="s">
        <v>457</v>
      </c>
      <c r="D134" s="20" t="s">
        <v>445</v>
      </c>
      <c r="E134" s="55">
        <f t="shared" ca="1" si="0"/>
        <v>2.8489307280878963E-3</v>
      </c>
      <c r="F134" s="55">
        <f t="shared" ca="1" si="1"/>
        <v>1.934695523808696E-3</v>
      </c>
      <c r="G134" s="21">
        <f ca="1">IFERROR(SUMIF('nres bld data'!$A$3:$A$38,B134&amp;C134,'nres bld data'!$D$3:$D$38),0)</f>
        <v>379426</v>
      </c>
      <c r="H134" s="21">
        <f t="shared" ref="H134:I134" ca="1" si="138">$T134*U134</f>
        <v>12953.608232305349</v>
      </c>
      <c r="I134" s="21">
        <f t="shared" ca="1" si="138"/>
        <v>15491.274128364937</v>
      </c>
      <c r="J134" s="21"/>
      <c r="K134" s="21"/>
      <c r="S134" s="115"/>
      <c r="T134" s="22">
        <f ca="1">G134/SUMIF('nres bld data'!$B$3:$B$38,$B134,'nres bld data'!$D$3:$D$38)</f>
        <v>1.2770772995509735E-2</v>
      </c>
      <c r="U134" s="21">
        <f>SUMIFS('Projections by County'!$D$10:$D$36,'Projections by County'!$A$10:$A$36,$B134,'Projections by County'!$C$10:$C$36,"Electricity (kWh)",'Projections by County'!$B$10:$B$36,"Commercial")*BTU_per_kWh/1000000</f>
        <v>1014316.6930349399</v>
      </c>
      <c r="V134" s="21">
        <f>SUMIFS('Projections by County'!$D$10:$D$36,'Projections by County'!$A$10:$A$36,$B134,'Projections by County'!$C$10:$C$36,"Natural Gas",'Projections by County'!$B$10:$B$36,"Commercial")</f>
        <v>1213025.5649999999</v>
      </c>
      <c r="W134" s="116"/>
      <c r="X134" s="116">
        <f>IFERROR(SUMIF('nres bld data'!$V$3:$V$254,"="&amp;$B134&amp;$C134&amp;$D134,'nres bld data'!P$3:P$254)/SUMIF('nres bld data'!$V$3:$V$254,"="&amp;$B134&amp;$C134&amp;$D134,'nres bld data'!$T$3:$T$254),0)</f>
        <v>0.49261527539222089</v>
      </c>
      <c r="Y134" s="116">
        <f>IFERROR(SUMIF('nres bld data'!$V$3:$V$254,"="&amp;$B134&amp;$C134&amp;$D134,'nres bld data'!Q$3:Q$254)/SUMIF('nres bld data'!$V$3:$V$254,"="&amp;$B134&amp;$C134&amp;$D134,'nres bld data'!$T$3:$T$254),0)</f>
        <v>0.50738472460777906</v>
      </c>
      <c r="AA134" s="116">
        <f ca="1">IFERROR(SUMIF('nres bld data'!$V$3:$V$254,"="&amp;$B134&amp;$C134&amp;$D134,'nres bld data'!P$3:P$254)/SUMIF('nres bld data'!$W$256:$W$297,"="&amp;$B134&amp;$C134,'nres bld data'!P$256:P$297),0)</f>
        <v>8.3448439311268288E-2</v>
      </c>
      <c r="AB134" s="116">
        <f ca="1">IFERROR(SUMIF('nres bld data'!$V$3:$V$254,"="&amp;$B134&amp;$C134&amp;$D134,'nres bld data'!Q$3:Q$254)/SUMIF('nres bld data'!$W$256:$W$297,"="&amp;$B134&amp;$C134,'nres bld data'!Q$256:Q$297),0)</f>
        <v>4.7386275507999016E-2</v>
      </c>
    </row>
    <row r="135" spans="2:28">
      <c r="B135" s="20" t="s">
        <v>9</v>
      </c>
      <c r="C135" s="20" t="s">
        <v>430</v>
      </c>
      <c r="D135" s="20" t="s">
        <v>429</v>
      </c>
      <c r="E135" s="55">
        <f t="shared" ca="1" si="0"/>
        <v>3.5865974410423341E-3</v>
      </c>
      <c r="F135" s="55">
        <f t="shared" ca="1" si="1"/>
        <v>0</v>
      </c>
      <c r="G135" s="21">
        <f ca="1">IFERROR(SUMIF('nres bld data'!$A$3:$A$38,B135&amp;C135,'nres bld data'!$D$3:$D$38),0)</f>
        <v>10078144</v>
      </c>
      <c r="H135" s="21">
        <f t="shared" ref="H135:I135" ca="1" si="139">$T135*U135</f>
        <v>344067.95813876425</v>
      </c>
      <c r="I135" s="21">
        <f t="shared" ca="1" si="139"/>
        <v>411472.30661350657</v>
      </c>
      <c r="J135" s="21"/>
      <c r="K135" s="21"/>
      <c r="S135" s="115"/>
      <c r="T135" s="22">
        <f ca="1">G135/SUMIF('nres bld data'!$B$3:$B$38,$B135,'nres bld data'!$D$3:$D$38)</f>
        <v>0.33921157021410886</v>
      </c>
      <c r="U135" s="21">
        <f>SUMIFS('Projections by County'!$D$10:$D$36,'Projections by County'!$A$10:$A$36,$B135,'Projections by County'!$C$10:$C$36,"Electricity (kWh)",'Projections by County'!$B$10:$B$36,"Commercial")*BTU_per_kWh/1000000</f>
        <v>1014316.6930349399</v>
      </c>
      <c r="V135" s="21">
        <f>SUMIFS('Projections by County'!$D$10:$D$36,'Projections by County'!$A$10:$A$36,$B135,'Projections by County'!$C$10:$C$36,"Natural Gas",'Projections by County'!$B$10:$B$36,"Commercial")</f>
        <v>1213025.5649999999</v>
      </c>
      <c r="W135" s="116"/>
      <c r="X135" s="116">
        <f>IFERROR(SUMIF('nres bld data'!$V$3:$V$254,"="&amp;$B135&amp;$C135&amp;$D135,'nres bld data'!P$3:P$254)/SUMIF('nres bld data'!$V$3:$V$254,"="&amp;$B135&amp;$C135&amp;$D135,'nres bld data'!$T$3:$T$254),0)</f>
        <v>1</v>
      </c>
      <c r="Y135" s="116">
        <f>IFERROR(SUMIF('nres bld data'!$V$3:$V$254,"="&amp;$B135&amp;$C135&amp;$D135,'nres bld data'!Q$3:Q$254)/SUMIF('nres bld data'!$V$3:$V$254,"="&amp;$B135&amp;$C135&amp;$D135,'nres bld data'!$T$3:$T$254),0)</f>
        <v>0</v>
      </c>
      <c r="AA135" s="116">
        <f ca="1">IFERROR(SUMIF('nres bld data'!$V$3:$V$254,"="&amp;$B135&amp;$C135&amp;$D135,'nres bld data'!P$3:P$254)/SUMIF('nres bld data'!$W$256:$W$297,"="&amp;$B135&amp;$C135,'nres bld data'!P$256:P$297),0)</f>
        <v>0.10505554099367254</v>
      </c>
      <c r="AB135" s="116">
        <f ca="1">IFERROR(SUMIF('nres bld data'!$V$3:$V$254,"="&amp;$B135&amp;$C135&amp;$D135,'nres bld data'!Q$3:Q$254)/SUMIF('nres bld data'!$W$256:$W$297,"="&amp;$B135&amp;$C135,'nres bld data'!Q$256:Q$297),0)</f>
        <v>0</v>
      </c>
    </row>
    <row r="136" spans="2:28">
      <c r="B136" s="20" t="s">
        <v>9</v>
      </c>
      <c r="C136" s="20" t="s">
        <v>430</v>
      </c>
      <c r="D136" s="20" t="s">
        <v>433</v>
      </c>
      <c r="E136" s="55">
        <f t="shared" ca="1" si="0"/>
        <v>5.3114455399016361E-3</v>
      </c>
      <c r="F136" s="55">
        <f t="shared" ca="1" si="1"/>
        <v>0</v>
      </c>
      <c r="G136" s="21">
        <f ca="1">IFERROR(SUMIF('nres bld data'!$A$3:$A$38,B136&amp;C136,'nres bld data'!$D$3:$D$38),0)</f>
        <v>10078144</v>
      </c>
      <c r="H136" s="21">
        <f t="shared" ref="H136:I136" ca="1" si="140">$T136*U136</f>
        <v>344067.95813876425</v>
      </c>
      <c r="I136" s="21">
        <f t="shared" ca="1" si="140"/>
        <v>411472.30661350657</v>
      </c>
      <c r="J136" s="21"/>
      <c r="K136" s="21"/>
      <c r="S136" s="115"/>
      <c r="T136" s="22">
        <f ca="1">G136/SUMIF('nres bld data'!$B$3:$B$38,$B136,'nres bld data'!$D$3:$D$38)</f>
        <v>0.33921157021410886</v>
      </c>
      <c r="U136" s="21">
        <f>SUMIFS('Projections by County'!$D$10:$D$36,'Projections by County'!$A$10:$A$36,$B136,'Projections by County'!$C$10:$C$36,"Electricity (kWh)",'Projections by County'!$B$10:$B$36,"Commercial")*BTU_per_kWh/1000000</f>
        <v>1014316.6930349399</v>
      </c>
      <c r="V136" s="21">
        <f>SUMIFS('Projections by County'!$D$10:$D$36,'Projections by County'!$A$10:$A$36,$B136,'Projections by County'!$C$10:$C$36,"Natural Gas",'Projections by County'!$B$10:$B$36,"Commercial")</f>
        <v>1213025.5649999999</v>
      </c>
      <c r="W136" s="116"/>
      <c r="X136" s="116">
        <f>IFERROR(SUMIF('nres bld data'!$V$3:$V$254,"="&amp;$B136&amp;$C136&amp;$D136,'nres bld data'!P$3:P$254)/SUMIF('nres bld data'!$V$3:$V$254,"="&amp;$B136&amp;$C136&amp;$D136,'nres bld data'!$T$3:$T$254),0)</f>
        <v>1</v>
      </c>
      <c r="Y136" s="116">
        <f>IFERROR(SUMIF('nres bld data'!$V$3:$V$254,"="&amp;$B136&amp;$C136&amp;$D136,'nres bld data'!Q$3:Q$254)/SUMIF('nres bld data'!$V$3:$V$254,"="&amp;$B136&amp;$C136&amp;$D136,'nres bld data'!$T$3:$T$254),0)</f>
        <v>0</v>
      </c>
      <c r="AA136" s="116">
        <f ca="1">IFERROR(SUMIF('nres bld data'!$V$3:$V$254,"="&amp;$B136&amp;$C136&amp;$D136,'nres bld data'!P$3:P$254)/SUMIF('nres bld data'!$W$256:$W$297,"="&amp;$B136&amp;$C136,'nres bld data'!P$256:P$297),0)</f>
        <v>0.15557831449593373</v>
      </c>
      <c r="AB136" s="116">
        <f ca="1">IFERROR(SUMIF('nres bld data'!$V$3:$V$254,"="&amp;$B136&amp;$C136&amp;$D136,'nres bld data'!Q$3:Q$254)/SUMIF('nres bld data'!$W$256:$W$297,"="&amp;$B136&amp;$C136,'nres bld data'!Q$256:Q$297),0)</f>
        <v>0</v>
      </c>
    </row>
    <row r="137" spans="2:28">
      <c r="B137" s="20" t="s">
        <v>9</v>
      </c>
      <c r="C137" s="20" t="s">
        <v>430</v>
      </c>
      <c r="D137" s="20" t="s">
        <v>437</v>
      </c>
      <c r="E137" s="55">
        <f t="shared" ca="1" si="0"/>
        <v>1.7850999750709973E-2</v>
      </c>
      <c r="F137" s="55">
        <f t="shared" ca="1" si="1"/>
        <v>0</v>
      </c>
      <c r="G137" s="21">
        <f ca="1">IFERROR(SUMIF('nres bld data'!$A$3:$A$38,B137&amp;C137,'nres bld data'!$D$3:$D$38),0)</f>
        <v>10078144</v>
      </c>
      <c r="H137" s="21">
        <f t="shared" ref="H137:I137" ca="1" si="141">$T137*U137</f>
        <v>344067.95813876425</v>
      </c>
      <c r="I137" s="21">
        <f t="shared" ca="1" si="141"/>
        <v>411472.30661350657</v>
      </c>
      <c r="J137" s="21"/>
      <c r="K137" s="21"/>
      <c r="S137" s="115"/>
      <c r="T137" s="22">
        <f ca="1">G137/SUMIF('nres bld data'!$B$3:$B$38,$B137,'nres bld data'!$D$3:$D$38)</f>
        <v>0.33921157021410886</v>
      </c>
      <c r="U137" s="21">
        <f>SUMIFS('Projections by County'!$D$10:$D$36,'Projections by County'!$A$10:$A$36,$B137,'Projections by County'!$C$10:$C$36,"Electricity (kWh)",'Projections by County'!$B$10:$B$36,"Commercial")*BTU_per_kWh/1000000</f>
        <v>1014316.6930349399</v>
      </c>
      <c r="V137" s="21">
        <f>SUMIFS('Projections by County'!$D$10:$D$36,'Projections by County'!$A$10:$A$36,$B137,'Projections by County'!$C$10:$C$36,"Natural Gas",'Projections by County'!$B$10:$B$36,"Commercial")</f>
        <v>1213025.5649999999</v>
      </c>
      <c r="W137" s="116"/>
      <c r="X137" s="116">
        <f>IFERROR(SUMIF('nres bld data'!$V$3:$V$254,"="&amp;$B137&amp;$C137&amp;$D137,'nres bld data'!P$3:P$254)/SUMIF('nres bld data'!$V$3:$V$254,"="&amp;$B137&amp;$C137&amp;$D137,'nres bld data'!$T$3:$T$254),0)</f>
        <v>1</v>
      </c>
      <c r="Y137" s="116">
        <f>IFERROR(SUMIF('nres bld data'!$V$3:$V$254,"="&amp;$B137&amp;$C137&amp;$D137,'nres bld data'!Q$3:Q$254)/SUMIF('nres bld data'!$V$3:$V$254,"="&amp;$B137&amp;$C137&amp;$D137,'nres bld data'!$T$3:$T$254),0)</f>
        <v>0</v>
      </c>
      <c r="AA137" s="116">
        <f ca="1">IFERROR(SUMIF('nres bld data'!$V$3:$V$254,"="&amp;$B137&amp;$C137&amp;$D137,'nres bld data'!P$3:P$254)/SUMIF('nres bld data'!$W$256:$W$297,"="&amp;$B137&amp;$C137,'nres bld data'!P$256:P$297),0)</f>
        <v>0.52287619865800661</v>
      </c>
      <c r="AB137" s="116">
        <f ca="1">IFERROR(SUMIF('nres bld data'!$V$3:$V$254,"="&amp;$B137&amp;$C137&amp;$D137,'nres bld data'!Q$3:Q$254)/SUMIF('nres bld data'!$W$256:$W$297,"="&amp;$B137&amp;$C137,'nres bld data'!Q$256:Q$297),0)</f>
        <v>0</v>
      </c>
    </row>
    <row r="138" spans="2:28">
      <c r="B138" s="20" t="s">
        <v>9</v>
      </c>
      <c r="C138" s="20" t="s">
        <v>430</v>
      </c>
      <c r="D138" s="20" t="s">
        <v>440</v>
      </c>
      <c r="E138" s="55">
        <f t="shared" ca="1" si="0"/>
        <v>3.1161743117448077E-3</v>
      </c>
      <c r="F138" s="55">
        <f t="shared" ca="1" si="1"/>
        <v>0</v>
      </c>
      <c r="G138" s="21">
        <f ca="1">IFERROR(SUMIF('nres bld data'!$A$3:$A$38,B138&amp;C138,'nres bld data'!$D$3:$D$38),0)</f>
        <v>10078144</v>
      </c>
      <c r="H138" s="21">
        <f t="shared" ref="H138:I138" ca="1" si="142">$T138*U138</f>
        <v>344067.95813876425</v>
      </c>
      <c r="I138" s="21">
        <f t="shared" ca="1" si="142"/>
        <v>411472.30661350657</v>
      </c>
      <c r="J138" s="21"/>
      <c r="K138" s="21"/>
      <c r="S138" s="115"/>
      <c r="T138" s="22">
        <f ca="1">G138/SUMIF('nres bld data'!$B$3:$B$38,$B138,'nres bld data'!$D$3:$D$38)</f>
        <v>0.33921157021410886</v>
      </c>
      <c r="U138" s="21">
        <f>SUMIFS('Projections by County'!$D$10:$D$36,'Projections by County'!$A$10:$A$36,$B138,'Projections by County'!$C$10:$C$36,"Electricity (kWh)",'Projections by County'!$B$10:$B$36,"Commercial")*BTU_per_kWh/1000000</f>
        <v>1014316.6930349399</v>
      </c>
      <c r="V138" s="21">
        <f>SUMIFS('Projections by County'!$D$10:$D$36,'Projections by County'!$A$10:$A$36,$B138,'Projections by County'!$C$10:$C$36,"Natural Gas",'Projections by County'!$B$10:$B$36,"Commercial")</f>
        <v>1213025.5649999999</v>
      </c>
      <c r="W138" s="116"/>
      <c r="X138" s="116">
        <f>IFERROR(SUMIF('nres bld data'!$V$3:$V$254,"="&amp;$B138&amp;$C138&amp;$D138,'nres bld data'!P$3:P$254)/SUMIF('nres bld data'!$V$3:$V$254,"="&amp;$B138&amp;$C138&amp;$D138,'nres bld data'!$T$3:$T$254),0)</f>
        <v>1</v>
      </c>
      <c r="Y138" s="116">
        <f>IFERROR(SUMIF('nres bld data'!$V$3:$V$254,"="&amp;$B138&amp;$C138&amp;$D138,'nres bld data'!Q$3:Q$254)/SUMIF('nres bld data'!$V$3:$V$254,"="&amp;$B138&amp;$C138&amp;$D138,'nres bld data'!$T$3:$T$254),0)</f>
        <v>0</v>
      </c>
      <c r="AA138" s="116">
        <f ca="1">IFERROR(SUMIF('nres bld data'!$V$3:$V$254,"="&amp;$B138&amp;$C138&amp;$D138,'nres bld data'!P$3:P$254)/SUMIF('nres bld data'!$W$256:$W$297,"="&amp;$B138&amp;$C138,'nres bld data'!P$256:P$297),0)</f>
        <v>9.1276309519641982E-2</v>
      </c>
      <c r="AB138" s="116">
        <f ca="1">IFERROR(SUMIF('nres bld data'!$V$3:$V$254,"="&amp;$B138&amp;$C138&amp;$D138,'nres bld data'!Q$3:Q$254)/SUMIF('nres bld data'!$W$256:$W$297,"="&amp;$B138&amp;$C138,'nres bld data'!Q$256:Q$297),0)</f>
        <v>0</v>
      </c>
    </row>
    <row r="139" spans="2:28">
      <c r="B139" s="20" t="s">
        <v>9</v>
      </c>
      <c r="C139" s="20" t="s">
        <v>430</v>
      </c>
      <c r="D139" s="20" t="s">
        <v>443</v>
      </c>
      <c r="E139" s="55">
        <f t="shared" ca="1" si="0"/>
        <v>4.2747950598976741E-3</v>
      </c>
      <c r="F139" s="55">
        <f t="shared" ca="1" si="1"/>
        <v>4.0828182908827913E-2</v>
      </c>
      <c r="G139" s="21">
        <f ca="1">IFERROR(SUMIF('nres bld data'!$A$3:$A$38,B139&amp;C139,'nres bld data'!$D$3:$D$38),0)</f>
        <v>10078144</v>
      </c>
      <c r="H139" s="21">
        <f t="shared" ref="H139:I139" ca="1" si="143">$T139*U139</f>
        <v>344067.95813876425</v>
      </c>
      <c r="I139" s="21">
        <f t="shared" ca="1" si="143"/>
        <v>411472.30661350657</v>
      </c>
      <c r="J139" s="21"/>
      <c r="K139" s="21"/>
      <c r="S139" s="115"/>
      <c r="T139" s="22">
        <f ca="1">G139/SUMIF('nres bld data'!$B$3:$B$38,$B139,'nres bld data'!$D$3:$D$38)</f>
        <v>0.33921157021410886</v>
      </c>
      <c r="U139" s="21">
        <f>SUMIFS('Projections by County'!$D$10:$D$36,'Projections by County'!$A$10:$A$36,$B139,'Projections by County'!$C$10:$C$36,"Electricity (kWh)",'Projections by County'!$B$10:$B$36,"Commercial")*BTU_per_kWh/1000000</f>
        <v>1014316.6930349399</v>
      </c>
      <c r="V139" s="21">
        <f>SUMIFS('Projections by County'!$D$10:$D$36,'Projections by County'!$A$10:$A$36,$B139,'Projections by County'!$C$10:$C$36,"Natural Gas",'Projections by County'!$B$10:$B$36,"Commercial")</f>
        <v>1213025.5649999999</v>
      </c>
      <c r="W139" s="116"/>
      <c r="X139" s="116">
        <f>IFERROR(SUMIF('nres bld data'!$V$3:$V$254,"="&amp;$B139&amp;$C139&amp;$D139,'nres bld data'!P$3:P$254)/SUMIF('nres bld data'!$V$3:$V$254,"="&amp;$B139&amp;$C139&amp;$D139,'nres bld data'!$T$3:$T$254),0)</f>
        <v>0.18805609999714984</v>
      </c>
      <c r="Y139" s="116">
        <f>IFERROR(SUMIF('nres bld data'!$V$3:$V$254,"="&amp;$B139&amp;$C139&amp;$D139,'nres bld data'!Q$3:Q$254)/SUMIF('nres bld data'!$V$3:$V$254,"="&amp;$B139&amp;$C139&amp;$D139,'nres bld data'!$T$3:$T$254),0)</f>
        <v>0.58197055405955411</v>
      </c>
      <c r="AA139" s="116">
        <f ca="1">IFERROR(SUMIF('nres bld data'!$V$3:$V$254,"="&amp;$B139&amp;$C139&amp;$D139,'nres bld data'!P$3:P$254)/SUMIF('nres bld data'!$W$256:$W$297,"="&amp;$B139&amp;$C139,'nres bld data'!P$256:P$297),0)</f>
        <v>0.1252136363327451</v>
      </c>
      <c r="AB139" s="116">
        <f ca="1">IFERROR(SUMIF('nres bld data'!$V$3:$V$254,"="&amp;$B139&amp;$C139&amp;$D139,'nres bld data'!Q$3:Q$254)/SUMIF('nres bld data'!$W$256:$W$297,"="&amp;$B139&amp;$C139,'nres bld data'!Q$256:Q$297),0)</f>
        <v>1</v>
      </c>
    </row>
    <row r="140" spans="2:28">
      <c r="B140" s="20" t="s">
        <v>9</v>
      </c>
      <c r="C140" s="20" t="s">
        <v>430</v>
      </c>
      <c r="D140" s="20" t="s">
        <v>445</v>
      </c>
      <c r="E140" s="55">
        <f t="shared" ca="1" si="0"/>
        <v>0</v>
      </c>
      <c r="F140" s="55">
        <f t="shared" ca="1" si="1"/>
        <v>0</v>
      </c>
      <c r="G140" s="21">
        <f ca="1">IFERROR(SUMIF('nres bld data'!$A$3:$A$38,B140&amp;C140,'nres bld data'!$D$3:$D$38),0)</f>
        <v>10078144</v>
      </c>
      <c r="H140" s="21">
        <f t="shared" ref="H140:I140" ca="1" si="144">$T140*U140</f>
        <v>344067.95813876425</v>
      </c>
      <c r="I140" s="21">
        <f t="shared" ca="1" si="144"/>
        <v>411472.30661350657</v>
      </c>
      <c r="J140" s="21"/>
      <c r="K140" s="21"/>
      <c r="S140" s="115"/>
      <c r="T140" s="22">
        <f ca="1">G140/SUMIF('nres bld data'!$B$3:$B$38,$B140,'nres bld data'!$D$3:$D$38)</f>
        <v>0.33921157021410886</v>
      </c>
      <c r="U140" s="21">
        <f>SUMIFS('Projections by County'!$D$10:$D$36,'Projections by County'!$A$10:$A$36,$B140,'Projections by County'!$C$10:$C$36,"Electricity (kWh)",'Projections by County'!$B$10:$B$36,"Commercial")*BTU_per_kWh/1000000</f>
        <v>1014316.6930349399</v>
      </c>
      <c r="V140" s="21">
        <f>SUMIFS('Projections by County'!$D$10:$D$36,'Projections by County'!$A$10:$A$36,$B140,'Projections by County'!$C$10:$C$36,"Natural Gas",'Projections by County'!$B$10:$B$36,"Commercial")</f>
        <v>1213025.5649999999</v>
      </c>
      <c r="W140" s="116"/>
      <c r="X140" s="116">
        <f>IFERROR(SUMIF('nres bld data'!$V$3:$V$254,"="&amp;$B140&amp;$C140&amp;$D140,'nres bld data'!P$3:P$254)/SUMIF('nres bld data'!$V$3:$V$254,"="&amp;$B140&amp;$C140&amp;$D140,'nres bld data'!$T$3:$T$254),0)</f>
        <v>0</v>
      </c>
      <c r="Y140" s="116">
        <f>IFERROR(SUMIF('nres bld data'!$V$3:$V$254,"="&amp;$B140&amp;$C140&amp;$D140,'nres bld data'!Q$3:Q$254)/SUMIF('nres bld data'!$V$3:$V$254,"="&amp;$B140&amp;$C140&amp;$D140,'nres bld data'!$T$3:$T$254),0)</f>
        <v>0</v>
      </c>
      <c r="AA140" s="116">
        <f ca="1">IFERROR(SUMIF('nres bld data'!$V$3:$V$254,"="&amp;$B140&amp;$C140&amp;$D140,'nres bld data'!P$3:P$254)/SUMIF('nres bld data'!$W$256:$W$297,"="&amp;$B140&amp;$C140,'nres bld data'!P$256:P$297),0)</f>
        <v>0</v>
      </c>
      <c r="AB140" s="116">
        <f ca="1">IFERROR(SUMIF('nres bld data'!$V$3:$V$254,"="&amp;$B140&amp;$C140&amp;$D140,'nres bld data'!Q$3:Q$254)/SUMIF('nres bld data'!$W$256:$W$297,"="&amp;$B140&amp;$C140,'nres bld data'!Q$256:Q$297),0)</f>
        <v>0</v>
      </c>
    </row>
    <row r="141" spans="2:28">
      <c r="B141" s="20" t="s">
        <v>9</v>
      </c>
      <c r="C141" s="20" t="s">
        <v>462</v>
      </c>
      <c r="D141" s="20" t="s">
        <v>429</v>
      </c>
      <c r="E141" s="55">
        <f t="shared" ca="1" si="0"/>
        <v>0</v>
      </c>
      <c r="F141" s="55">
        <f t="shared" ca="1" si="1"/>
        <v>0</v>
      </c>
      <c r="G141" s="21">
        <f>IFERROR(SUMIF('nres bld data'!$A$3:$A$38,B141&amp;C141,'nres bld data'!$D$3:$D$38),0)</f>
        <v>0</v>
      </c>
      <c r="H141" s="21">
        <f t="shared" ref="H141:I141" ca="1" si="145">$T141*U141</f>
        <v>0</v>
      </c>
      <c r="I141" s="21">
        <f t="shared" ca="1" si="145"/>
        <v>0</v>
      </c>
      <c r="J141" s="21"/>
      <c r="K141" s="21"/>
      <c r="S141" s="115"/>
      <c r="T141" s="22">
        <f ca="1">G141/SUMIF('nres bld data'!$B$3:$B$38,$B141,'nres bld data'!$D$3:$D$38)</f>
        <v>0</v>
      </c>
      <c r="U141" s="21">
        <f>SUMIFS('Projections by County'!$D$10:$D$36,'Projections by County'!$A$10:$A$36,$B141,'Projections by County'!$C$10:$C$36,"Electricity (kWh)",'Projections by County'!$B$10:$B$36,"Commercial")*BTU_per_kWh/1000000</f>
        <v>1014316.6930349399</v>
      </c>
      <c r="V141" s="21">
        <f>SUMIFS('Projections by County'!$D$10:$D$36,'Projections by County'!$A$10:$A$36,$B141,'Projections by County'!$C$10:$C$36,"Natural Gas",'Projections by County'!$B$10:$B$36,"Commercial")</f>
        <v>1213025.5649999999</v>
      </c>
      <c r="W141" s="116"/>
      <c r="X141" s="116">
        <f>IFERROR(SUMIF('nres bld data'!$V$3:$V$254,"="&amp;$B141&amp;$C141&amp;$D141,'nres bld data'!P$3:P$254)/SUMIF('nres bld data'!$V$3:$V$254,"="&amp;$B141&amp;$C141&amp;$D141,'nres bld data'!$T$3:$T$254),0)</f>
        <v>0.37051208996354262</v>
      </c>
      <c r="Y141" s="116">
        <f>IFERROR(SUMIF('nres bld data'!$V$3:$V$254,"="&amp;$B141&amp;$C141&amp;$D141,'nres bld data'!Q$3:Q$254)/SUMIF('nres bld data'!$V$3:$V$254,"="&amp;$B141&amp;$C141&amp;$D141,'nres bld data'!$T$3:$T$254),0)</f>
        <v>0.62948791003645743</v>
      </c>
      <c r="AA141" s="116">
        <f ca="1">IFERROR(SUMIF('nres bld data'!$V$3:$V$254,"="&amp;$B141&amp;$C141&amp;$D141,'nres bld data'!P$3:P$254)/SUMIF('nres bld data'!$W$256:$W$297,"="&amp;$B141&amp;$C141,'nres bld data'!P$256:P$297),0)</f>
        <v>0.19685033520749265</v>
      </c>
      <c r="AB141" s="116">
        <f ca="1">IFERROR(SUMIF('nres bld data'!$V$3:$V$254,"="&amp;$B141&amp;$C141&amp;$D141,'nres bld data'!Q$3:Q$254)/SUMIF('nres bld data'!$W$256:$W$297,"="&amp;$B141&amp;$C141,'nres bld data'!Q$256:Q$297),0)</f>
        <v>0.43782857984663498</v>
      </c>
    </row>
    <row r="142" spans="2:28">
      <c r="B142" s="20" t="s">
        <v>9</v>
      </c>
      <c r="C142" s="20" t="s">
        <v>462</v>
      </c>
      <c r="D142" s="20" t="s">
        <v>433</v>
      </c>
      <c r="E142" s="55">
        <f t="shared" ca="1" si="0"/>
        <v>0</v>
      </c>
      <c r="F142" s="55">
        <f t="shared" ca="1" si="1"/>
        <v>0</v>
      </c>
      <c r="G142" s="21">
        <f>IFERROR(SUMIF('nres bld data'!$A$3:$A$38,B142&amp;C142,'nres bld data'!$D$3:$D$38),0)</f>
        <v>0</v>
      </c>
      <c r="H142" s="21">
        <f t="shared" ref="H142:I142" ca="1" si="146">$T142*U142</f>
        <v>0</v>
      </c>
      <c r="I142" s="21">
        <f t="shared" ca="1" si="146"/>
        <v>0</v>
      </c>
      <c r="J142" s="21"/>
      <c r="K142" s="21"/>
      <c r="S142" s="115"/>
      <c r="T142" s="22">
        <f ca="1">G142/SUMIF('nres bld data'!$B$3:$B$38,$B142,'nres bld data'!$D$3:$D$38)</f>
        <v>0</v>
      </c>
      <c r="U142" s="21">
        <f>SUMIFS('Projections by County'!$D$10:$D$36,'Projections by County'!$A$10:$A$36,$B142,'Projections by County'!$C$10:$C$36,"Electricity (kWh)",'Projections by County'!$B$10:$B$36,"Commercial")*BTU_per_kWh/1000000</f>
        <v>1014316.6930349399</v>
      </c>
      <c r="V142" s="21">
        <f>SUMIFS('Projections by County'!$D$10:$D$36,'Projections by County'!$A$10:$A$36,$B142,'Projections by County'!$C$10:$C$36,"Natural Gas",'Projections by County'!$B$10:$B$36,"Commercial")</f>
        <v>1213025.5649999999</v>
      </c>
      <c r="W142" s="116"/>
      <c r="X142" s="116">
        <f>IFERROR(SUMIF('nres bld data'!$V$3:$V$254,"="&amp;$B142&amp;$C142&amp;$D142,'nres bld data'!P$3:P$254)/SUMIF('nres bld data'!$V$3:$V$254,"="&amp;$B142&amp;$C142&amp;$D142,'nres bld data'!$T$3:$T$254),0)</f>
        <v>1</v>
      </c>
      <c r="Y142" s="116">
        <f>IFERROR(SUMIF('nres bld data'!$V$3:$V$254,"="&amp;$B142&amp;$C142&amp;$D142,'nres bld data'!Q$3:Q$254)/SUMIF('nres bld data'!$V$3:$V$254,"="&amp;$B142&amp;$C142&amp;$D142,'nres bld data'!$T$3:$T$254),0)</f>
        <v>0</v>
      </c>
      <c r="AA142" s="116">
        <f ca="1">IFERROR(SUMIF('nres bld data'!$V$3:$V$254,"="&amp;$B142&amp;$C142&amp;$D142,'nres bld data'!P$3:P$254)/SUMIF('nres bld data'!$W$256:$W$297,"="&amp;$B142&amp;$C142,'nres bld data'!P$256:P$297),0)</f>
        <v>0.18996998810928756</v>
      </c>
      <c r="AB142" s="116">
        <f ca="1">IFERROR(SUMIF('nres bld data'!$V$3:$V$254,"="&amp;$B142&amp;$C142&amp;$D142,'nres bld data'!Q$3:Q$254)/SUMIF('nres bld data'!$W$256:$W$297,"="&amp;$B142&amp;$C142,'nres bld data'!Q$256:Q$297),0)</f>
        <v>0</v>
      </c>
    </row>
    <row r="143" spans="2:28">
      <c r="B143" s="20" t="s">
        <v>9</v>
      </c>
      <c r="C143" s="20" t="s">
        <v>462</v>
      </c>
      <c r="D143" s="20" t="s">
        <v>437</v>
      </c>
      <c r="E143" s="55">
        <f t="shared" ca="1" si="0"/>
        <v>0</v>
      </c>
      <c r="F143" s="55">
        <f t="shared" ca="1" si="1"/>
        <v>0</v>
      </c>
      <c r="G143" s="21">
        <f>IFERROR(SUMIF('nres bld data'!$A$3:$A$38,B143&amp;C143,'nres bld data'!$D$3:$D$38),0)</f>
        <v>0</v>
      </c>
      <c r="H143" s="21">
        <f t="shared" ref="H143:I143" ca="1" si="147">$T143*U143</f>
        <v>0</v>
      </c>
      <c r="I143" s="21">
        <f t="shared" ca="1" si="147"/>
        <v>0</v>
      </c>
      <c r="J143" s="21"/>
      <c r="K143" s="21"/>
      <c r="S143" s="115"/>
      <c r="T143" s="22">
        <f ca="1">G143/SUMIF('nres bld data'!$B$3:$B$38,$B143,'nres bld data'!$D$3:$D$38)</f>
        <v>0</v>
      </c>
      <c r="U143" s="21">
        <f>SUMIFS('Projections by County'!$D$10:$D$36,'Projections by County'!$A$10:$A$36,$B143,'Projections by County'!$C$10:$C$36,"Electricity (kWh)",'Projections by County'!$B$10:$B$36,"Commercial")*BTU_per_kWh/1000000</f>
        <v>1014316.6930349399</v>
      </c>
      <c r="V143" s="21">
        <f>SUMIFS('Projections by County'!$D$10:$D$36,'Projections by County'!$A$10:$A$36,$B143,'Projections by County'!$C$10:$C$36,"Natural Gas",'Projections by County'!$B$10:$B$36,"Commercial")</f>
        <v>1213025.5649999999</v>
      </c>
      <c r="W143" s="116"/>
      <c r="X143" s="116">
        <f>IFERROR(SUMIF('nres bld data'!$V$3:$V$254,"="&amp;$B143&amp;$C143&amp;$D143,'nres bld data'!P$3:P$254)/SUMIF('nres bld data'!$V$3:$V$254,"="&amp;$B143&amp;$C143&amp;$D143,'nres bld data'!$T$3:$T$254),0)</f>
        <v>1</v>
      </c>
      <c r="Y143" s="116">
        <f>IFERROR(SUMIF('nres bld data'!$V$3:$V$254,"="&amp;$B143&amp;$C143&amp;$D143,'nres bld data'!Q$3:Q$254)/SUMIF('nres bld data'!$V$3:$V$254,"="&amp;$B143&amp;$C143&amp;$D143,'nres bld data'!$T$3:$T$254),0)</f>
        <v>0</v>
      </c>
      <c r="AA143" s="116">
        <f ca="1">IFERROR(SUMIF('nres bld data'!$V$3:$V$254,"="&amp;$B143&amp;$C143&amp;$D143,'nres bld data'!P$3:P$254)/SUMIF('nres bld data'!$W$256:$W$297,"="&amp;$B143&amp;$C143,'nres bld data'!P$256:P$297),0)</f>
        <v>0.32417563505460611</v>
      </c>
      <c r="AB143" s="116">
        <f ca="1">IFERROR(SUMIF('nres bld data'!$V$3:$V$254,"="&amp;$B143&amp;$C143&amp;$D143,'nres bld data'!Q$3:Q$254)/SUMIF('nres bld data'!$W$256:$W$297,"="&amp;$B143&amp;$C143,'nres bld data'!Q$256:Q$297),0)</f>
        <v>0</v>
      </c>
    </row>
    <row r="144" spans="2:28">
      <c r="B144" s="20" t="s">
        <v>9</v>
      </c>
      <c r="C144" s="20" t="s">
        <v>462</v>
      </c>
      <c r="D144" s="20" t="s">
        <v>440</v>
      </c>
      <c r="E144" s="55">
        <f t="shared" ca="1" si="0"/>
        <v>0</v>
      </c>
      <c r="F144" s="55">
        <f t="shared" ca="1" si="1"/>
        <v>0</v>
      </c>
      <c r="G144" s="21">
        <f>IFERROR(SUMIF('nres bld data'!$A$3:$A$38,B144&amp;C144,'nres bld data'!$D$3:$D$38),0)</f>
        <v>0</v>
      </c>
      <c r="H144" s="21">
        <f t="shared" ref="H144:I144" ca="1" si="148">$T144*U144</f>
        <v>0</v>
      </c>
      <c r="I144" s="21">
        <f t="shared" ca="1" si="148"/>
        <v>0</v>
      </c>
      <c r="J144" s="21"/>
      <c r="K144" s="21"/>
      <c r="S144" s="115"/>
      <c r="T144" s="22">
        <f ca="1">G144/SUMIF('nres bld data'!$B$3:$B$38,$B144,'nres bld data'!$D$3:$D$38)</f>
        <v>0</v>
      </c>
      <c r="U144" s="21">
        <f>SUMIFS('Projections by County'!$D$10:$D$36,'Projections by County'!$A$10:$A$36,$B144,'Projections by County'!$C$10:$C$36,"Electricity (kWh)",'Projections by County'!$B$10:$B$36,"Commercial")*BTU_per_kWh/1000000</f>
        <v>1014316.6930349399</v>
      </c>
      <c r="V144" s="21">
        <f>SUMIFS('Projections by County'!$D$10:$D$36,'Projections by County'!$A$10:$A$36,$B144,'Projections by County'!$C$10:$C$36,"Natural Gas",'Projections by County'!$B$10:$B$36,"Commercial")</f>
        <v>1213025.5649999999</v>
      </c>
      <c r="W144" s="116"/>
      <c r="X144" s="116">
        <f>IFERROR(SUMIF('nres bld data'!$V$3:$V$254,"="&amp;$B144&amp;$C144&amp;$D144,'nres bld data'!P$3:P$254)/SUMIF('nres bld data'!$V$3:$V$254,"="&amp;$B144&amp;$C144&amp;$D144,'nres bld data'!$T$3:$T$254),0)</f>
        <v>1</v>
      </c>
      <c r="Y144" s="116">
        <f>IFERROR(SUMIF('nres bld data'!$V$3:$V$254,"="&amp;$B144&amp;$C144&amp;$D144,'nres bld data'!Q$3:Q$254)/SUMIF('nres bld data'!$V$3:$V$254,"="&amp;$B144&amp;$C144&amp;$D144,'nres bld data'!$T$3:$T$254),0)</f>
        <v>0</v>
      </c>
      <c r="AA144" s="116">
        <f ca="1">IFERROR(SUMIF('nres bld data'!$V$3:$V$254,"="&amp;$B144&amp;$C144&amp;$D144,'nres bld data'!P$3:P$254)/SUMIF('nres bld data'!$W$256:$W$297,"="&amp;$B144&amp;$C144,'nres bld data'!P$256:P$297),0)</f>
        <v>0.11353653394323492</v>
      </c>
      <c r="AB144" s="116">
        <f ca="1">IFERROR(SUMIF('nres bld data'!$V$3:$V$254,"="&amp;$B144&amp;$C144&amp;$D144,'nres bld data'!Q$3:Q$254)/SUMIF('nres bld data'!$W$256:$W$297,"="&amp;$B144&amp;$C144,'nres bld data'!Q$256:Q$297),0)</f>
        <v>0</v>
      </c>
    </row>
    <row r="145" spans="2:28">
      <c r="B145" s="20" t="s">
        <v>9</v>
      </c>
      <c r="C145" s="20" t="s">
        <v>462</v>
      </c>
      <c r="D145" s="20" t="s">
        <v>443</v>
      </c>
      <c r="E145" s="55">
        <f t="shared" ca="1" si="0"/>
        <v>0</v>
      </c>
      <c r="F145" s="55">
        <f t="shared" ca="1" si="1"/>
        <v>0</v>
      </c>
      <c r="G145" s="21">
        <f>IFERROR(SUMIF('nres bld data'!$A$3:$A$38,B145&amp;C145,'nres bld data'!$D$3:$D$38),0)</f>
        <v>0</v>
      </c>
      <c r="H145" s="21">
        <f t="shared" ref="H145:I145" ca="1" si="149">$T145*U145</f>
        <v>0</v>
      </c>
      <c r="I145" s="21">
        <f t="shared" ca="1" si="149"/>
        <v>0</v>
      </c>
      <c r="J145" s="21"/>
      <c r="K145" s="21"/>
      <c r="S145" s="115"/>
      <c r="T145" s="22">
        <f ca="1">G145/SUMIF('nres bld data'!$B$3:$B$38,$B145,'nres bld data'!$D$3:$D$38)</f>
        <v>0</v>
      </c>
      <c r="U145" s="21">
        <f>SUMIFS('Projections by County'!$D$10:$D$36,'Projections by County'!$A$10:$A$36,$B145,'Projections by County'!$C$10:$C$36,"Electricity (kWh)",'Projections by County'!$B$10:$B$36,"Commercial")*BTU_per_kWh/1000000</f>
        <v>1014316.6930349399</v>
      </c>
      <c r="V145" s="21">
        <f>SUMIFS('Projections by County'!$D$10:$D$36,'Projections by County'!$A$10:$A$36,$B145,'Projections by County'!$C$10:$C$36,"Natural Gas",'Projections by County'!$B$10:$B$36,"Commercial")</f>
        <v>1213025.5649999999</v>
      </c>
      <c r="W145" s="116"/>
      <c r="X145" s="116">
        <f>IFERROR(SUMIF('nres bld data'!$V$3:$V$254,"="&amp;$B145&amp;$C145&amp;$D145,'nres bld data'!P$3:P$254)/SUMIF('nres bld data'!$V$3:$V$254,"="&amp;$B145&amp;$C145&amp;$D145,'nres bld data'!$T$3:$T$254),0)</f>
        <v>0.19958230581324335</v>
      </c>
      <c r="Y145" s="116">
        <f>IFERROR(SUMIF('nres bld data'!$V$3:$V$254,"="&amp;$B145&amp;$C145&amp;$D145,'nres bld data'!Q$3:Q$254)/SUMIF('nres bld data'!$V$3:$V$254,"="&amp;$B145&amp;$C145&amp;$D145,'nres bld data'!$T$3:$T$254),0)</f>
        <v>0.77825227704387356</v>
      </c>
      <c r="AA145" s="116">
        <f ca="1">IFERROR(SUMIF('nres bld data'!$V$3:$V$254,"="&amp;$B145&amp;$C145&amp;$D145,'nres bld data'!P$3:P$254)/SUMIF('nres bld data'!$W$256:$W$297,"="&amp;$B145&amp;$C145,'nres bld data'!P$256:P$297),0)</f>
        <v>7.792728626963509E-2</v>
      </c>
      <c r="AB145" s="116">
        <f ca="1">IFERROR(SUMIF('nres bld data'!$V$3:$V$254,"="&amp;$B145&amp;$C145&amp;$D145,'nres bld data'!Q$3:Q$254)/SUMIF('nres bld data'!$W$256:$W$297,"="&amp;$B145&amp;$C145,'nres bld data'!Q$256:Q$297),0)</f>
        <v>0.39780556644316811</v>
      </c>
    </row>
    <row r="146" spans="2:28">
      <c r="B146" s="20" t="s">
        <v>9</v>
      </c>
      <c r="C146" s="20" t="s">
        <v>462</v>
      </c>
      <c r="D146" s="20" t="s">
        <v>445</v>
      </c>
      <c r="E146" s="55">
        <f t="shared" ca="1" si="0"/>
        <v>0</v>
      </c>
      <c r="F146" s="55">
        <f t="shared" ca="1" si="1"/>
        <v>0</v>
      </c>
      <c r="G146" s="21">
        <f>IFERROR(SUMIF('nres bld data'!$A$3:$A$38,B146&amp;C146,'nres bld data'!$D$3:$D$38),0)</f>
        <v>0</v>
      </c>
      <c r="H146" s="21">
        <f t="shared" ref="H146:I146" ca="1" si="150">$T146*U146</f>
        <v>0</v>
      </c>
      <c r="I146" s="21">
        <f t="shared" ca="1" si="150"/>
        <v>0</v>
      </c>
      <c r="J146" s="21"/>
      <c r="K146" s="21"/>
      <c r="S146" s="115"/>
      <c r="T146" s="22">
        <f ca="1">G146/SUMIF('nres bld data'!$B$3:$B$38,$B146,'nres bld data'!$D$3:$D$38)</f>
        <v>0</v>
      </c>
      <c r="U146" s="21">
        <f>SUMIFS('Projections by County'!$D$10:$D$36,'Projections by County'!$A$10:$A$36,$B146,'Projections by County'!$C$10:$C$36,"Electricity (kWh)",'Projections by County'!$B$10:$B$36,"Commercial")*BTU_per_kWh/1000000</f>
        <v>1014316.6930349399</v>
      </c>
      <c r="V146" s="21">
        <f>SUMIFS('Projections by County'!$D$10:$D$36,'Projections by County'!$A$10:$A$36,$B146,'Projections by County'!$C$10:$C$36,"Natural Gas",'Projections by County'!$B$10:$B$36,"Commercial")</f>
        <v>1213025.5649999999</v>
      </c>
      <c r="W146" s="116"/>
      <c r="X146" s="116">
        <f>IFERROR(SUMIF('nres bld data'!$V$3:$V$254,"="&amp;$B146&amp;$C146&amp;$D146,'nres bld data'!P$3:P$254)/SUMIF('nres bld data'!$V$3:$V$254,"="&amp;$B146&amp;$C146&amp;$D146,'nres bld data'!$T$3:$T$254),0)</f>
        <v>0.42850932126149116</v>
      </c>
      <c r="Y146" s="116">
        <f>IFERROR(SUMIF('nres bld data'!$V$3:$V$254,"="&amp;$B146&amp;$C146&amp;$D146,'nres bld data'!Q$3:Q$254)/SUMIF('nres bld data'!$V$3:$V$254,"="&amp;$B146&amp;$C146&amp;$D146,'nres bld data'!$T$3:$T$254),0)</f>
        <v>0.55157579193127082</v>
      </c>
      <c r="AA146" s="116">
        <f ca="1">IFERROR(SUMIF('nres bld data'!$V$3:$V$254,"="&amp;$B146&amp;$C146&amp;$D146,'nres bld data'!P$3:P$254)/SUMIF('nres bld data'!$W$256:$W$297,"="&amp;$B146&amp;$C146,'nres bld data'!P$256:P$297),0)</f>
        <v>9.7540221415743686E-2</v>
      </c>
      <c r="AB146" s="116">
        <f ca="1">IFERROR(SUMIF('nres bld data'!$V$3:$V$254,"="&amp;$B146&amp;$C146&amp;$D146,'nres bld data'!Q$3:Q$254)/SUMIF('nres bld data'!$W$256:$W$297,"="&amp;$B146&amp;$C146,'nres bld data'!Q$256:Q$297),0)</f>
        <v>0.16436585371019694</v>
      </c>
    </row>
    <row r="147" spans="2:28">
      <c r="B147" s="20" t="s">
        <v>9</v>
      </c>
      <c r="C147" s="20" t="s">
        <v>463</v>
      </c>
      <c r="D147" s="20" t="s">
        <v>429</v>
      </c>
      <c r="E147" s="55">
        <f t="shared" ca="1" si="0"/>
        <v>0</v>
      </c>
      <c r="F147" s="55">
        <f t="shared" ca="1" si="1"/>
        <v>0</v>
      </c>
      <c r="G147" s="21">
        <f>IFERROR(SUMIF('nres bld data'!$A$3:$A$38,B147&amp;C147,'nres bld data'!$D$3:$D$38),0)</f>
        <v>0</v>
      </c>
      <c r="H147" s="21">
        <f t="shared" ref="H147:I147" ca="1" si="151">$T147*U147</f>
        <v>0</v>
      </c>
      <c r="I147" s="21">
        <f t="shared" ca="1" si="151"/>
        <v>0</v>
      </c>
      <c r="J147" s="21"/>
      <c r="K147" s="21"/>
      <c r="S147" s="115"/>
      <c r="T147" s="22">
        <f ca="1">G147/SUMIF('nres bld data'!$B$3:$B$38,$B147,'nres bld data'!$D$3:$D$38)</f>
        <v>0</v>
      </c>
      <c r="U147" s="21">
        <f>SUMIFS('Projections by County'!$D$10:$D$36,'Projections by County'!$A$10:$A$36,$B147,'Projections by County'!$C$10:$C$36,"Electricity (kWh)",'Projections by County'!$B$10:$B$36,"Commercial")*BTU_per_kWh/1000000</f>
        <v>1014316.6930349399</v>
      </c>
      <c r="V147" s="21">
        <f>SUMIFS('Projections by County'!$D$10:$D$36,'Projections by County'!$A$10:$A$36,$B147,'Projections by County'!$C$10:$C$36,"Natural Gas",'Projections by County'!$B$10:$B$36,"Commercial")</f>
        <v>1213025.5649999999</v>
      </c>
      <c r="W147" s="116"/>
      <c r="X147" s="116">
        <f>IFERROR(SUMIF('nres bld data'!$V$3:$V$254,"="&amp;$B147&amp;$C147&amp;$D147,'nres bld data'!P$3:P$254)/SUMIF('nres bld data'!$V$3:$V$254,"="&amp;$B147&amp;$C147&amp;$D147,'nres bld data'!$T$3:$T$254),0)</f>
        <v>0.66625982897406777</v>
      </c>
      <c r="Y147" s="116">
        <f>IFERROR(SUMIF('nres bld data'!$V$3:$V$254,"="&amp;$B147&amp;$C147&amp;$D147,'nres bld data'!Q$3:Q$254)/SUMIF('nres bld data'!$V$3:$V$254,"="&amp;$B147&amp;$C147&amp;$D147,'nres bld data'!$T$3:$T$254),0)</f>
        <v>0.33374017102593218</v>
      </c>
      <c r="AA147" s="116">
        <f ca="1">IFERROR(SUMIF('nres bld data'!$V$3:$V$254,"="&amp;$B147&amp;$C147&amp;$D147,'nres bld data'!P$3:P$254)/SUMIF('nres bld data'!$W$256:$W$297,"="&amp;$B147&amp;$C147,'nres bld data'!P$256:P$297),0)</f>
        <v>0.13572354807094114</v>
      </c>
      <c r="AB147" s="116">
        <f ca="1">IFERROR(SUMIF('nres bld data'!$V$3:$V$254,"="&amp;$B147&amp;$C147&amp;$D147,'nres bld data'!Q$3:Q$254)/SUMIF('nres bld data'!$W$256:$W$297,"="&amp;$B147&amp;$C147,'nres bld data'!Q$256:Q$297),0)</f>
        <v>8.5284815862457078E-2</v>
      </c>
    </row>
    <row r="148" spans="2:28">
      <c r="B148" s="20" t="s">
        <v>9</v>
      </c>
      <c r="C148" s="20" t="s">
        <v>463</v>
      </c>
      <c r="D148" s="20" t="s">
        <v>433</v>
      </c>
      <c r="E148" s="55">
        <f t="shared" ca="1" si="0"/>
        <v>0</v>
      </c>
      <c r="F148" s="55">
        <f t="shared" ca="1" si="1"/>
        <v>0</v>
      </c>
      <c r="G148" s="21">
        <f>IFERROR(SUMIF('nres bld data'!$A$3:$A$38,B148&amp;C148,'nres bld data'!$D$3:$D$38),0)</f>
        <v>0</v>
      </c>
      <c r="H148" s="21">
        <f t="shared" ref="H148:I148" ca="1" si="152">$T148*U148</f>
        <v>0</v>
      </c>
      <c r="I148" s="21">
        <f t="shared" ca="1" si="152"/>
        <v>0</v>
      </c>
      <c r="J148" s="21"/>
      <c r="K148" s="21"/>
      <c r="S148" s="115"/>
      <c r="T148" s="22">
        <f ca="1">G148/SUMIF('nres bld data'!$B$3:$B$38,$B148,'nres bld data'!$D$3:$D$38)</f>
        <v>0</v>
      </c>
      <c r="U148" s="21">
        <f>SUMIFS('Projections by County'!$D$10:$D$36,'Projections by County'!$A$10:$A$36,$B148,'Projections by County'!$C$10:$C$36,"Electricity (kWh)",'Projections by County'!$B$10:$B$36,"Commercial")*BTU_per_kWh/1000000</f>
        <v>1014316.6930349399</v>
      </c>
      <c r="V148" s="21">
        <f>SUMIFS('Projections by County'!$D$10:$D$36,'Projections by County'!$A$10:$A$36,$B148,'Projections by County'!$C$10:$C$36,"Natural Gas",'Projections by County'!$B$10:$B$36,"Commercial")</f>
        <v>1213025.5649999999</v>
      </c>
      <c r="W148" s="116"/>
      <c r="X148" s="116">
        <f>IFERROR(SUMIF('nres bld data'!$V$3:$V$254,"="&amp;$B148&amp;$C148&amp;$D148,'nres bld data'!P$3:P$254)/SUMIF('nres bld data'!$V$3:$V$254,"="&amp;$B148&amp;$C148&amp;$D148,'nres bld data'!$T$3:$T$254),0)</f>
        <v>1</v>
      </c>
      <c r="Y148" s="116">
        <f>IFERROR(SUMIF('nres bld data'!$V$3:$V$254,"="&amp;$B148&amp;$C148&amp;$D148,'nres bld data'!Q$3:Q$254)/SUMIF('nres bld data'!$V$3:$V$254,"="&amp;$B148&amp;$C148&amp;$D148,'nres bld data'!$T$3:$T$254),0)</f>
        <v>0</v>
      </c>
      <c r="AA148" s="116">
        <f ca="1">IFERROR(SUMIF('nres bld data'!$V$3:$V$254,"="&amp;$B148&amp;$C148&amp;$D148,'nres bld data'!P$3:P$254)/SUMIF('nres bld data'!$W$256:$W$297,"="&amp;$B148&amp;$C148,'nres bld data'!P$256:P$297),0)</f>
        <v>0.19134020737954538</v>
      </c>
      <c r="AB148" s="116">
        <f ca="1">IFERROR(SUMIF('nres bld data'!$V$3:$V$254,"="&amp;$B148&amp;$C148&amp;$D148,'nres bld data'!Q$3:Q$254)/SUMIF('nres bld data'!$W$256:$W$297,"="&amp;$B148&amp;$C148,'nres bld data'!Q$256:Q$297),0)</f>
        <v>0</v>
      </c>
    </row>
    <row r="149" spans="2:28">
      <c r="B149" s="20" t="s">
        <v>9</v>
      </c>
      <c r="C149" s="20" t="s">
        <v>463</v>
      </c>
      <c r="D149" s="20" t="s">
        <v>437</v>
      </c>
      <c r="E149" s="55">
        <f t="shared" ca="1" si="0"/>
        <v>0</v>
      </c>
      <c r="F149" s="55">
        <f t="shared" ca="1" si="1"/>
        <v>0</v>
      </c>
      <c r="G149" s="21">
        <f>IFERROR(SUMIF('nres bld data'!$A$3:$A$38,B149&amp;C149,'nres bld data'!$D$3:$D$38),0)</f>
        <v>0</v>
      </c>
      <c r="H149" s="21">
        <f t="shared" ref="H149:I149" ca="1" si="153">$T149*U149</f>
        <v>0</v>
      </c>
      <c r="I149" s="21">
        <f t="shared" ca="1" si="153"/>
        <v>0</v>
      </c>
      <c r="J149" s="21"/>
      <c r="K149" s="21"/>
      <c r="S149" s="115"/>
      <c r="T149" s="22">
        <f ca="1">G149/SUMIF('nres bld data'!$B$3:$B$38,$B149,'nres bld data'!$D$3:$D$38)</f>
        <v>0</v>
      </c>
      <c r="U149" s="21">
        <f>SUMIFS('Projections by County'!$D$10:$D$36,'Projections by County'!$A$10:$A$36,$B149,'Projections by County'!$C$10:$C$36,"Electricity (kWh)",'Projections by County'!$B$10:$B$36,"Commercial")*BTU_per_kWh/1000000</f>
        <v>1014316.6930349399</v>
      </c>
      <c r="V149" s="21">
        <f>SUMIFS('Projections by County'!$D$10:$D$36,'Projections by County'!$A$10:$A$36,$B149,'Projections by County'!$C$10:$C$36,"Natural Gas",'Projections by County'!$B$10:$B$36,"Commercial")</f>
        <v>1213025.5649999999</v>
      </c>
      <c r="W149" s="116"/>
      <c r="X149" s="116">
        <f>IFERROR(SUMIF('nres bld data'!$V$3:$V$254,"="&amp;$B149&amp;$C149&amp;$D149,'nres bld data'!P$3:P$254)/SUMIF('nres bld data'!$V$3:$V$254,"="&amp;$B149&amp;$C149&amp;$D149,'nres bld data'!$T$3:$T$254),0)</f>
        <v>1</v>
      </c>
      <c r="Y149" s="116">
        <f>IFERROR(SUMIF('nres bld data'!$V$3:$V$254,"="&amp;$B149&amp;$C149&amp;$D149,'nres bld data'!Q$3:Q$254)/SUMIF('nres bld data'!$V$3:$V$254,"="&amp;$B149&amp;$C149&amp;$D149,'nres bld data'!$T$3:$T$254),0)</f>
        <v>0</v>
      </c>
      <c r="AA149" s="116">
        <f ca="1">IFERROR(SUMIF('nres bld data'!$V$3:$V$254,"="&amp;$B149&amp;$C149&amp;$D149,'nres bld data'!P$3:P$254)/SUMIF('nres bld data'!$W$256:$W$297,"="&amp;$B149&amp;$C149,'nres bld data'!P$256:P$297),0)</f>
        <v>0.36119537096776488</v>
      </c>
      <c r="AB149" s="116">
        <f ca="1">IFERROR(SUMIF('nres bld data'!$V$3:$V$254,"="&amp;$B149&amp;$C149&amp;$D149,'nres bld data'!Q$3:Q$254)/SUMIF('nres bld data'!$W$256:$W$297,"="&amp;$B149&amp;$C149,'nres bld data'!Q$256:Q$297),0)</f>
        <v>0</v>
      </c>
    </row>
    <row r="150" spans="2:28">
      <c r="B150" s="20" t="s">
        <v>9</v>
      </c>
      <c r="C150" s="20" t="s">
        <v>463</v>
      </c>
      <c r="D150" s="20" t="s">
        <v>440</v>
      </c>
      <c r="E150" s="55">
        <f t="shared" ca="1" si="0"/>
        <v>0</v>
      </c>
      <c r="F150" s="55">
        <f t="shared" ca="1" si="1"/>
        <v>0</v>
      </c>
      <c r="G150" s="21">
        <f>IFERROR(SUMIF('nres bld data'!$A$3:$A$38,B150&amp;C150,'nres bld data'!$D$3:$D$38),0)</f>
        <v>0</v>
      </c>
      <c r="H150" s="21">
        <f t="shared" ref="H150:I150" ca="1" si="154">$T150*U150</f>
        <v>0</v>
      </c>
      <c r="I150" s="21">
        <f t="shared" ca="1" si="154"/>
        <v>0</v>
      </c>
      <c r="J150" s="21"/>
      <c r="K150" s="21"/>
      <c r="S150" s="115"/>
      <c r="T150" s="22">
        <f ca="1">G150/SUMIF('nres bld data'!$B$3:$B$38,$B150,'nres bld data'!$D$3:$D$38)</f>
        <v>0</v>
      </c>
      <c r="U150" s="21">
        <f>SUMIFS('Projections by County'!$D$10:$D$36,'Projections by County'!$A$10:$A$36,$B150,'Projections by County'!$C$10:$C$36,"Electricity (kWh)",'Projections by County'!$B$10:$B$36,"Commercial")*BTU_per_kWh/1000000</f>
        <v>1014316.6930349399</v>
      </c>
      <c r="V150" s="21">
        <f>SUMIFS('Projections by County'!$D$10:$D$36,'Projections by County'!$A$10:$A$36,$B150,'Projections by County'!$C$10:$C$36,"Natural Gas",'Projections by County'!$B$10:$B$36,"Commercial")</f>
        <v>1213025.5649999999</v>
      </c>
      <c r="W150" s="116"/>
      <c r="X150" s="116">
        <f>IFERROR(SUMIF('nres bld data'!$V$3:$V$254,"="&amp;$B150&amp;$C150&amp;$D150,'nres bld data'!P$3:P$254)/SUMIF('nres bld data'!$V$3:$V$254,"="&amp;$B150&amp;$C150&amp;$D150,'nres bld data'!$T$3:$T$254),0)</f>
        <v>1</v>
      </c>
      <c r="Y150" s="116">
        <f>IFERROR(SUMIF('nres bld data'!$V$3:$V$254,"="&amp;$B150&amp;$C150&amp;$D150,'nres bld data'!Q$3:Q$254)/SUMIF('nres bld data'!$V$3:$V$254,"="&amp;$B150&amp;$C150&amp;$D150,'nres bld data'!$T$3:$T$254),0)</f>
        <v>0</v>
      </c>
      <c r="AA150" s="116">
        <f ca="1">IFERROR(SUMIF('nres bld data'!$V$3:$V$254,"="&amp;$B150&amp;$C150&amp;$D150,'nres bld data'!P$3:P$254)/SUMIF('nres bld data'!$W$256:$W$297,"="&amp;$B150&amp;$C150,'nres bld data'!P$256:P$297),0)</f>
        <v>0.24009164774050507</v>
      </c>
      <c r="AB150" s="116">
        <f ca="1">IFERROR(SUMIF('nres bld data'!$V$3:$V$254,"="&amp;$B150&amp;$C150&amp;$D150,'nres bld data'!Q$3:Q$254)/SUMIF('nres bld data'!$W$256:$W$297,"="&amp;$B150&amp;$C150,'nres bld data'!Q$256:Q$297),0)</f>
        <v>0</v>
      </c>
    </row>
    <row r="151" spans="2:28">
      <c r="B151" s="20" t="s">
        <v>9</v>
      </c>
      <c r="C151" s="20" t="s">
        <v>463</v>
      </c>
      <c r="D151" s="20" t="s">
        <v>443</v>
      </c>
      <c r="E151" s="55">
        <f t="shared" ca="1" si="0"/>
        <v>0</v>
      </c>
      <c r="F151" s="55">
        <f t="shared" ca="1" si="1"/>
        <v>0</v>
      </c>
      <c r="G151" s="21">
        <f>IFERROR(SUMIF('nres bld data'!$A$3:$A$38,B151&amp;C151,'nres bld data'!$D$3:$D$38),0)</f>
        <v>0</v>
      </c>
      <c r="H151" s="21">
        <f t="shared" ref="H151:I151" ca="1" si="155">$T151*U151</f>
        <v>0</v>
      </c>
      <c r="I151" s="21">
        <f t="shared" ca="1" si="155"/>
        <v>0</v>
      </c>
      <c r="J151" s="21"/>
      <c r="K151" s="21"/>
      <c r="S151" s="115"/>
      <c r="T151" s="22">
        <f ca="1">G151/SUMIF('nres bld data'!$B$3:$B$38,$B151,'nres bld data'!$D$3:$D$38)</f>
        <v>0</v>
      </c>
      <c r="U151" s="21">
        <f>SUMIFS('Projections by County'!$D$10:$D$36,'Projections by County'!$A$10:$A$36,$B151,'Projections by County'!$C$10:$C$36,"Electricity (kWh)",'Projections by County'!$B$10:$B$36,"Commercial")*BTU_per_kWh/1000000</f>
        <v>1014316.6930349399</v>
      </c>
      <c r="V151" s="21">
        <f>SUMIFS('Projections by County'!$D$10:$D$36,'Projections by County'!$A$10:$A$36,$B151,'Projections by County'!$C$10:$C$36,"Natural Gas",'Projections by County'!$B$10:$B$36,"Commercial")</f>
        <v>1213025.5649999999</v>
      </c>
      <c r="W151" s="116"/>
      <c r="X151" s="116">
        <f>IFERROR(SUMIF('nres bld data'!$V$3:$V$254,"="&amp;$B151&amp;$C151&amp;$D151,'nres bld data'!P$3:P$254)/SUMIF('nres bld data'!$V$3:$V$254,"="&amp;$B151&amp;$C151&amp;$D151,'nres bld data'!$T$3:$T$254),0)</f>
        <v>0</v>
      </c>
      <c r="Y151" s="116">
        <f>IFERROR(SUMIF('nres bld data'!$V$3:$V$254,"="&amp;$B151&amp;$C151&amp;$D151,'nres bld data'!Q$3:Q$254)/SUMIF('nres bld data'!$V$3:$V$254,"="&amp;$B151&amp;$C151&amp;$D151,'nres bld data'!$T$3:$T$254),0)</f>
        <v>1</v>
      </c>
      <c r="AA151" s="116">
        <f ca="1">IFERROR(SUMIF('nres bld data'!$V$3:$V$254,"="&amp;$B151&amp;$C151&amp;$D151,'nres bld data'!P$3:P$254)/SUMIF('nres bld data'!$W$256:$W$297,"="&amp;$B151&amp;$C151,'nres bld data'!P$256:P$297),0)</f>
        <v>0</v>
      </c>
      <c r="AB151" s="116">
        <f ca="1">IFERROR(SUMIF('nres bld data'!$V$3:$V$254,"="&amp;$B151&amp;$C151&amp;$D151,'nres bld data'!Q$3:Q$254)/SUMIF('nres bld data'!$W$256:$W$297,"="&amp;$B151&amp;$C151,'nres bld data'!Q$256:Q$297),0)</f>
        <v>0.83932519702315733</v>
      </c>
    </row>
    <row r="152" spans="2:28">
      <c r="B152" s="20" t="s">
        <v>9</v>
      </c>
      <c r="C152" s="20" t="s">
        <v>463</v>
      </c>
      <c r="D152" s="20" t="s">
        <v>445</v>
      </c>
      <c r="E152" s="55">
        <f t="shared" ca="1" si="0"/>
        <v>0</v>
      </c>
      <c r="F152" s="55">
        <f t="shared" ca="1" si="1"/>
        <v>0</v>
      </c>
      <c r="G152" s="21">
        <f>IFERROR(SUMIF('nres bld data'!$A$3:$A$38,B152&amp;C152,'nres bld data'!$D$3:$D$38),0)</f>
        <v>0</v>
      </c>
      <c r="H152" s="21">
        <f t="shared" ref="H152:I152" ca="1" si="156">$T152*U152</f>
        <v>0</v>
      </c>
      <c r="I152" s="21">
        <f t="shared" ca="1" si="156"/>
        <v>0</v>
      </c>
      <c r="J152" s="21"/>
      <c r="K152" s="21"/>
      <c r="S152" s="115"/>
      <c r="T152" s="22">
        <f ca="1">G152/SUMIF('nres bld data'!$B$3:$B$38,$B152,'nres bld data'!$D$3:$D$38)</f>
        <v>0</v>
      </c>
      <c r="U152" s="21">
        <f>SUMIFS('Projections by County'!$D$10:$D$36,'Projections by County'!$A$10:$A$36,$B152,'Projections by County'!$C$10:$C$36,"Electricity (kWh)",'Projections by County'!$B$10:$B$36,"Commercial")*BTU_per_kWh/1000000</f>
        <v>1014316.6930349399</v>
      </c>
      <c r="V152" s="21">
        <f>SUMIFS('Projections by County'!$D$10:$D$36,'Projections by County'!$A$10:$A$36,$B152,'Projections by County'!$C$10:$C$36,"Natural Gas",'Projections by County'!$B$10:$B$36,"Commercial")</f>
        <v>1213025.5649999999</v>
      </c>
      <c r="W152" s="116"/>
      <c r="X152" s="116">
        <f>IFERROR(SUMIF('nres bld data'!$V$3:$V$254,"="&amp;$B152&amp;$C152&amp;$D152,'nres bld data'!P$3:P$254)/SUMIF('nres bld data'!$V$3:$V$254,"="&amp;$B152&amp;$C152&amp;$D152,'nres bld data'!$T$3:$T$254),0)</f>
        <v>0.54383745375878212</v>
      </c>
      <c r="Y152" s="116">
        <f>IFERROR(SUMIF('nres bld data'!$V$3:$V$254,"="&amp;$B152&amp;$C152&amp;$D152,'nres bld data'!Q$3:Q$254)/SUMIF('nres bld data'!$V$3:$V$254,"="&amp;$B152&amp;$C152&amp;$D152,'nres bld data'!$T$3:$T$254),0)</f>
        <v>0.45616254624121788</v>
      </c>
      <c r="AA152" s="116">
        <f ca="1">IFERROR(SUMIF('nres bld data'!$V$3:$V$254,"="&amp;$B152&amp;$C152&amp;$D152,'nres bld data'!P$3:P$254)/SUMIF('nres bld data'!$W$256:$W$297,"="&amp;$B152&amp;$C152,'nres bld data'!P$256:P$297),0)</f>
        <v>7.1649225841243572E-2</v>
      </c>
      <c r="AB152" s="116">
        <f ca="1">IFERROR(SUMIF('nres bld data'!$V$3:$V$254,"="&amp;$B152&amp;$C152&amp;$D152,'nres bld data'!Q$3:Q$254)/SUMIF('nres bld data'!$W$256:$W$297,"="&amp;$B152&amp;$C152,'nres bld data'!Q$256:Q$297),0)</f>
        <v>7.5389987114385618E-2</v>
      </c>
    </row>
    <row r="153" spans="2:28">
      <c r="B153" s="20" t="s">
        <v>9</v>
      </c>
      <c r="C153" s="20" t="s">
        <v>438</v>
      </c>
      <c r="D153" s="20" t="s">
        <v>429</v>
      </c>
      <c r="E153" s="55">
        <f t="shared" ca="1" si="0"/>
        <v>5.7258103098544932E-3</v>
      </c>
      <c r="F153" s="55">
        <f t="shared" ca="1" si="1"/>
        <v>1.0675214297944595E-2</v>
      </c>
      <c r="G153" s="21">
        <f ca="1">IFERROR(SUMIF('nres bld data'!$A$3:$A$38,B153&amp;C153,'nres bld data'!$D$3:$D$38),0)</f>
        <v>1570872</v>
      </c>
      <c r="H153" s="21">
        <f t="shared" ref="H153:I153" ca="1" si="157">$T153*U153</f>
        <v>53629.58909272946</v>
      </c>
      <c r="I153" s="21">
        <f t="shared" ca="1" si="157"/>
        <v>64135.849342356312</v>
      </c>
      <c r="J153" s="21"/>
      <c r="K153" s="21"/>
      <c r="S153" s="115"/>
      <c r="T153" s="22">
        <f ca="1">G153/SUMIF('nres bld data'!$B$3:$B$38,$B153,'nres bld data'!$D$3:$D$38)</f>
        <v>5.2872627909005626E-2</v>
      </c>
      <c r="U153" s="21">
        <f>SUMIFS('Projections by County'!$D$10:$D$36,'Projections by County'!$A$10:$A$36,$B153,'Projections by County'!$C$10:$C$36,"Electricity (kWh)",'Projections by County'!$B$10:$B$36,"Commercial")*BTU_per_kWh/1000000</f>
        <v>1014316.6930349399</v>
      </c>
      <c r="V153" s="21">
        <f>SUMIFS('Projections by County'!$D$10:$D$36,'Projections by County'!$A$10:$A$36,$B153,'Projections by County'!$C$10:$C$36,"Natural Gas",'Projections by County'!$B$10:$B$36,"Commercial")</f>
        <v>1213025.5649999999</v>
      </c>
      <c r="W153" s="116"/>
      <c r="X153" s="116">
        <f>IFERROR(SUMIF('nres bld data'!$V$3:$V$254,"="&amp;$B153&amp;$C153&amp;$D153,'nres bld data'!P$3:P$254)/SUMIF('nres bld data'!$V$3:$V$254,"="&amp;$B153&amp;$C153&amp;$D153,'nres bld data'!$T$3:$T$254),0)</f>
        <v>0.71413955384212191</v>
      </c>
      <c r="Y153" s="116">
        <f>IFERROR(SUMIF('nres bld data'!$V$3:$V$254,"="&amp;$B153&amp;$C153&amp;$D153,'nres bld data'!Q$3:Q$254)/SUMIF('nres bld data'!$V$3:$V$254,"="&amp;$B153&amp;$C153&amp;$D153,'nres bld data'!$T$3:$T$254),0)</f>
        <v>0.28586044615787809</v>
      </c>
      <c r="AA153" s="116">
        <f ca="1">IFERROR(SUMIF('nres bld data'!$V$3:$V$254,"="&amp;$B153&amp;$C153&amp;$D153,'nres bld data'!P$3:P$254)/SUMIF('nres bld data'!$W$256:$W$297,"="&amp;$B153&amp;$C153,'nres bld data'!P$256:P$297),0)</f>
        <v>0.1677155325115316</v>
      </c>
      <c r="AB153" s="116">
        <f ca="1">IFERROR(SUMIF('nres bld data'!$V$3:$V$254,"="&amp;$B153&amp;$C153&amp;$D153,'nres bld data'!Q$3:Q$254)/SUMIF('nres bld data'!$W$256:$W$297,"="&amp;$B153&amp;$C153,'nres bld data'!Q$256:Q$297),0)</f>
        <v>0.26146679909275095</v>
      </c>
    </row>
    <row r="154" spans="2:28">
      <c r="B154" s="20" t="s">
        <v>9</v>
      </c>
      <c r="C154" s="20" t="s">
        <v>438</v>
      </c>
      <c r="D154" s="20" t="s">
        <v>433</v>
      </c>
      <c r="E154" s="55">
        <f t="shared" ca="1" si="0"/>
        <v>1.1383987544516229E-2</v>
      </c>
      <c r="F154" s="55">
        <f t="shared" ca="1" si="1"/>
        <v>0</v>
      </c>
      <c r="G154" s="21">
        <f ca="1">IFERROR(SUMIF('nres bld data'!$A$3:$A$38,B154&amp;C154,'nres bld data'!$D$3:$D$38),0)</f>
        <v>1570872</v>
      </c>
      <c r="H154" s="21">
        <f t="shared" ref="H154:I154" ca="1" si="158">$T154*U154</f>
        <v>53629.58909272946</v>
      </c>
      <c r="I154" s="21">
        <f t="shared" ca="1" si="158"/>
        <v>64135.849342356312</v>
      </c>
      <c r="J154" s="21"/>
      <c r="K154" s="21"/>
      <c r="S154" s="115"/>
      <c r="T154" s="22">
        <f ca="1">G154/SUMIF('nres bld data'!$B$3:$B$38,$B154,'nres bld data'!$D$3:$D$38)</f>
        <v>5.2872627909005626E-2</v>
      </c>
      <c r="U154" s="21">
        <f>SUMIFS('Projections by County'!$D$10:$D$36,'Projections by County'!$A$10:$A$36,$B154,'Projections by County'!$C$10:$C$36,"Electricity (kWh)",'Projections by County'!$B$10:$B$36,"Commercial")*BTU_per_kWh/1000000</f>
        <v>1014316.6930349399</v>
      </c>
      <c r="V154" s="21">
        <f>SUMIFS('Projections by County'!$D$10:$D$36,'Projections by County'!$A$10:$A$36,$B154,'Projections by County'!$C$10:$C$36,"Natural Gas",'Projections by County'!$B$10:$B$36,"Commercial")</f>
        <v>1213025.5649999999</v>
      </c>
      <c r="W154" s="116"/>
      <c r="X154" s="116">
        <f>IFERROR(SUMIF('nres bld data'!$V$3:$V$254,"="&amp;$B154&amp;$C154&amp;$D154,'nres bld data'!P$3:P$254)/SUMIF('nres bld data'!$V$3:$V$254,"="&amp;$B154&amp;$C154&amp;$D154,'nres bld data'!$T$3:$T$254),0)</f>
        <v>1</v>
      </c>
      <c r="Y154" s="116">
        <f>IFERROR(SUMIF('nres bld data'!$V$3:$V$254,"="&amp;$B154&amp;$C154&amp;$D154,'nres bld data'!Q$3:Q$254)/SUMIF('nres bld data'!$V$3:$V$254,"="&amp;$B154&amp;$C154&amp;$D154,'nres bld data'!$T$3:$T$254),0)</f>
        <v>0</v>
      </c>
      <c r="AA154" s="116">
        <f ca="1">IFERROR(SUMIF('nres bld data'!$V$3:$V$254,"="&amp;$B154&amp;$C154&amp;$D154,'nres bld data'!P$3:P$254)/SUMIF('nres bld data'!$W$256:$W$297,"="&amp;$B154&amp;$C154,'nres bld data'!P$256:P$297),0)</f>
        <v>0.3334500148995857</v>
      </c>
      <c r="AB154" s="116">
        <f ca="1">IFERROR(SUMIF('nres bld data'!$V$3:$V$254,"="&amp;$B154&amp;$C154&amp;$D154,'nres bld data'!Q$3:Q$254)/SUMIF('nres bld data'!$W$256:$W$297,"="&amp;$B154&amp;$C154,'nres bld data'!Q$256:Q$297),0)</f>
        <v>0</v>
      </c>
    </row>
    <row r="155" spans="2:28">
      <c r="B155" s="20" t="s">
        <v>9</v>
      </c>
      <c r="C155" s="20" t="s">
        <v>438</v>
      </c>
      <c r="D155" s="20" t="s">
        <v>437</v>
      </c>
      <c r="E155" s="55">
        <f t="shared" ca="1" si="0"/>
        <v>5.0374134689641532E-3</v>
      </c>
      <c r="F155" s="55">
        <f t="shared" ca="1" si="1"/>
        <v>0</v>
      </c>
      <c r="G155" s="21">
        <f ca="1">IFERROR(SUMIF('nres bld data'!$A$3:$A$38,B155&amp;C155,'nres bld data'!$D$3:$D$38),0)</f>
        <v>1570872</v>
      </c>
      <c r="H155" s="21">
        <f t="shared" ref="H155:I155" ca="1" si="159">$T155*U155</f>
        <v>53629.58909272946</v>
      </c>
      <c r="I155" s="21">
        <f t="shared" ca="1" si="159"/>
        <v>64135.849342356312</v>
      </c>
      <c r="J155" s="21"/>
      <c r="K155" s="21"/>
      <c r="S155" s="115"/>
      <c r="T155" s="22">
        <f ca="1">G155/SUMIF('nres bld data'!$B$3:$B$38,$B155,'nres bld data'!$D$3:$D$38)</f>
        <v>5.2872627909005626E-2</v>
      </c>
      <c r="U155" s="21">
        <f>SUMIFS('Projections by County'!$D$10:$D$36,'Projections by County'!$A$10:$A$36,$B155,'Projections by County'!$C$10:$C$36,"Electricity (kWh)",'Projections by County'!$B$10:$B$36,"Commercial")*BTU_per_kWh/1000000</f>
        <v>1014316.6930349399</v>
      </c>
      <c r="V155" s="21">
        <f>SUMIFS('Projections by County'!$D$10:$D$36,'Projections by County'!$A$10:$A$36,$B155,'Projections by County'!$C$10:$C$36,"Natural Gas",'Projections by County'!$B$10:$B$36,"Commercial")</f>
        <v>1213025.5649999999</v>
      </c>
      <c r="W155" s="116"/>
      <c r="X155" s="116">
        <f>IFERROR(SUMIF('nres bld data'!$V$3:$V$254,"="&amp;$B155&amp;$C155&amp;$D155,'nres bld data'!P$3:P$254)/SUMIF('nres bld data'!$V$3:$V$254,"="&amp;$B155&amp;$C155&amp;$D155,'nres bld data'!$T$3:$T$254),0)</f>
        <v>1</v>
      </c>
      <c r="Y155" s="116">
        <f>IFERROR(SUMIF('nres bld data'!$V$3:$V$254,"="&amp;$B155&amp;$C155&amp;$D155,'nres bld data'!Q$3:Q$254)/SUMIF('nres bld data'!$V$3:$V$254,"="&amp;$B155&amp;$C155&amp;$D155,'nres bld data'!$T$3:$T$254),0)</f>
        <v>0</v>
      </c>
      <c r="AA155" s="116">
        <f ca="1">IFERROR(SUMIF('nres bld data'!$V$3:$V$254,"="&amp;$B155&amp;$C155&amp;$D155,'nres bld data'!P$3:P$254)/SUMIF('nres bld data'!$W$256:$W$297,"="&amp;$B155&amp;$C155,'nres bld data'!P$256:P$297),0)</f>
        <v>0.14755160173120621</v>
      </c>
      <c r="AB155" s="116">
        <f ca="1">IFERROR(SUMIF('nres bld data'!$V$3:$V$254,"="&amp;$B155&amp;$C155&amp;$D155,'nres bld data'!Q$3:Q$254)/SUMIF('nres bld data'!$W$256:$W$297,"="&amp;$B155&amp;$C155,'nres bld data'!Q$256:Q$297),0)</f>
        <v>0</v>
      </c>
    </row>
    <row r="156" spans="2:28">
      <c r="B156" s="20" t="s">
        <v>9</v>
      </c>
      <c r="C156" s="20" t="s">
        <v>438</v>
      </c>
      <c r="D156" s="20" t="s">
        <v>440</v>
      </c>
      <c r="E156" s="55">
        <f t="shared" ca="1" si="0"/>
        <v>3.839545197691125E-3</v>
      </c>
      <c r="F156" s="55">
        <f t="shared" ca="1" si="1"/>
        <v>0</v>
      </c>
      <c r="G156" s="21">
        <f ca="1">IFERROR(SUMIF('nres bld data'!$A$3:$A$38,B156&amp;C156,'nres bld data'!$D$3:$D$38),0)</f>
        <v>1570872</v>
      </c>
      <c r="H156" s="21">
        <f t="shared" ref="H156:I156" ca="1" si="160">$T156*U156</f>
        <v>53629.58909272946</v>
      </c>
      <c r="I156" s="21">
        <f t="shared" ca="1" si="160"/>
        <v>64135.849342356312</v>
      </c>
      <c r="J156" s="21"/>
      <c r="K156" s="21"/>
      <c r="S156" s="115"/>
      <c r="T156" s="22">
        <f ca="1">G156/SUMIF('nres bld data'!$B$3:$B$38,$B156,'nres bld data'!$D$3:$D$38)</f>
        <v>5.2872627909005626E-2</v>
      </c>
      <c r="U156" s="21">
        <f>SUMIFS('Projections by County'!$D$10:$D$36,'Projections by County'!$A$10:$A$36,$B156,'Projections by County'!$C$10:$C$36,"Electricity (kWh)",'Projections by County'!$B$10:$B$36,"Commercial")*BTU_per_kWh/1000000</f>
        <v>1014316.6930349399</v>
      </c>
      <c r="V156" s="21">
        <f>SUMIFS('Projections by County'!$D$10:$D$36,'Projections by County'!$A$10:$A$36,$B156,'Projections by County'!$C$10:$C$36,"Natural Gas",'Projections by County'!$B$10:$B$36,"Commercial")</f>
        <v>1213025.5649999999</v>
      </c>
      <c r="W156" s="116"/>
      <c r="X156" s="116">
        <f>IFERROR(SUMIF('nres bld data'!$V$3:$V$254,"="&amp;$B156&amp;$C156&amp;$D156,'nres bld data'!P$3:P$254)/SUMIF('nres bld data'!$V$3:$V$254,"="&amp;$B156&amp;$C156&amp;$D156,'nres bld data'!$T$3:$T$254),0)</f>
        <v>1</v>
      </c>
      <c r="Y156" s="116">
        <f>IFERROR(SUMIF('nres bld data'!$V$3:$V$254,"="&amp;$B156&amp;$C156&amp;$D156,'nres bld data'!Q$3:Q$254)/SUMIF('nres bld data'!$V$3:$V$254,"="&amp;$B156&amp;$C156&amp;$D156,'nres bld data'!$T$3:$T$254),0)</f>
        <v>0</v>
      </c>
      <c r="AA156" s="116">
        <f ca="1">IFERROR(SUMIF('nres bld data'!$V$3:$V$254,"="&amp;$B156&amp;$C156&amp;$D156,'nres bld data'!P$3:P$254)/SUMIF('nres bld data'!$W$256:$W$297,"="&amp;$B156&amp;$C156,'nres bld data'!P$256:P$297),0)</f>
        <v>0.11246467007902418</v>
      </c>
      <c r="AB156" s="116">
        <f ca="1">IFERROR(SUMIF('nres bld data'!$V$3:$V$254,"="&amp;$B156&amp;$C156&amp;$D156,'nres bld data'!Q$3:Q$254)/SUMIF('nres bld data'!$W$256:$W$297,"="&amp;$B156&amp;$C156,'nres bld data'!Q$256:Q$297),0)</f>
        <v>0</v>
      </c>
    </row>
    <row r="157" spans="2:28">
      <c r="B157" s="20" t="s">
        <v>9</v>
      </c>
      <c r="C157" s="20" t="s">
        <v>438</v>
      </c>
      <c r="D157" s="20" t="s">
        <v>443</v>
      </c>
      <c r="E157" s="55">
        <f t="shared" ca="1" si="0"/>
        <v>8.1532555822704262E-3</v>
      </c>
      <c r="F157" s="55">
        <f t="shared" ca="1" si="1"/>
        <v>8.7639606490108376E-3</v>
      </c>
      <c r="G157" s="21">
        <f ca="1">IFERROR(SUMIF('nres bld data'!$A$3:$A$38,B157&amp;C157,'nres bld data'!$D$3:$D$38),0)</f>
        <v>1570872</v>
      </c>
      <c r="H157" s="21">
        <f t="shared" ref="H157:I157" ca="1" si="161">$T157*U157</f>
        <v>53629.58909272946</v>
      </c>
      <c r="I157" s="21">
        <f t="shared" ca="1" si="161"/>
        <v>64135.849342356312</v>
      </c>
      <c r="J157" s="21"/>
      <c r="K157" s="21"/>
      <c r="S157" s="115"/>
      <c r="T157" s="22">
        <f ca="1">G157/SUMIF('nres bld data'!$B$3:$B$38,$B157,'nres bld data'!$D$3:$D$38)</f>
        <v>5.2872627909005626E-2</v>
      </c>
      <c r="U157" s="21">
        <f>SUMIFS('Projections by County'!$D$10:$D$36,'Projections by County'!$A$10:$A$36,$B157,'Projections by County'!$C$10:$C$36,"Electricity (kWh)",'Projections by County'!$B$10:$B$36,"Commercial")*BTU_per_kWh/1000000</f>
        <v>1014316.6930349399</v>
      </c>
      <c r="V157" s="21">
        <f>SUMIFS('Projections by County'!$D$10:$D$36,'Projections by County'!$A$10:$A$36,$B157,'Projections by County'!$C$10:$C$36,"Natural Gas",'Projections by County'!$B$10:$B$36,"Commercial")</f>
        <v>1213025.5649999999</v>
      </c>
      <c r="W157" s="116"/>
      <c r="X157" s="116">
        <f>IFERROR(SUMIF('nres bld data'!$V$3:$V$254,"="&amp;$B157&amp;$C157&amp;$D157,'nres bld data'!P$3:P$254)/SUMIF('nres bld data'!$V$3:$V$254,"="&amp;$B157&amp;$C157&amp;$D157,'nres bld data'!$T$3:$T$254),0)</f>
        <v>0.81249200425286616</v>
      </c>
      <c r="Y157" s="116">
        <f>IFERROR(SUMIF('nres bld data'!$V$3:$V$254,"="&amp;$B157&amp;$C157&amp;$D157,'nres bld data'!Q$3:Q$254)/SUMIF('nres bld data'!$V$3:$V$254,"="&amp;$B157&amp;$C157&amp;$D157,'nres bld data'!$T$3:$T$254),0)</f>
        <v>0.18750799574713384</v>
      </c>
      <c r="AA157" s="116">
        <f ca="1">IFERROR(SUMIF('nres bld data'!$V$3:$V$254,"="&amp;$B157&amp;$C157&amp;$D157,'nres bld data'!P$3:P$254)/SUMIF('nres bld data'!$W$256:$W$297,"="&amp;$B157&amp;$C157,'nres bld data'!P$256:P$297),0)</f>
        <v>0.23881818077865238</v>
      </c>
      <c r="AB157" s="116">
        <f ca="1">IFERROR(SUMIF('nres bld data'!$V$3:$V$254,"="&amp;$B157&amp;$C157&amp;$D157,'nres bld data'!Q$3:Q$254)/SUMIF('nres bld data'!$W$256:$W$297,"="&amp;$B157&amp;$C157,'nres bld data'!Q$256:Q$297),0)</f>
        <v>0.2146546827367104</v>
      </c>
    </row>
    <row r="158" spans="2:28">
      <c r="B158" s="20" t="s">
        <v>9</v>
      </c>
      <c r="C158" s="20" t="s">
        <v>438</v>
      </c>
      <c r="D158" s="20" t="s">
        <v>445</v>
      </c>
      <c r="E158" s="55">
        <f t="shared" ca="1" si="0"/>
        <v>0</v>
      </c>
      <c r="F158" s="55">
        <f t="shared" ca="1" si="1"/>
        <v>2.1389007961872476E-2</v>
      </c>
      <c r="G158" s="21">
        <f ca="1">IFERROR(SUMIF('nres bld data'!$A$3:$A$38,B158&amp;C158,'nres bld data'!$D$3:$D$38),0)</f>
        <v>1570872</v>
      </c>
      <c r="H158" s="21">
        <f t="shared" ref="H158:I158" ca="1" si="162">$T158*U158</f>
        <v>53629.58909272946</v>
      </c>
      <c r="I158" s="21">
        <f t="shared" ca="1" si="162"/>
        <v>64135.849342356312</v>
      </c>
      <c r="J158" s="21"/>
      <c r="K158" s="21"/>
      <c r="S158" s="115"/>
      <c r="T158" s="22">
        <f ca="1">G158/SUMIF('nres bld data'!$B$3:$B$38,$B158,'nres bld data'!$D$3:$D$38)</f>
        <v>5.2872627909005626E-2</v>
      </c>
      <c r="U158" s="21">
        <f>SUMIFS('Projections by County'!$D$10:$D$36,'Projections by County'!$A$10:$A$36,$B158,'Projections by County'!$C$10:$C$36,"Electricity (kWh)",'Projections by County'!$B$10:$B$36,"Commercial")*BTU_per_kWh/1000000</f>
        <v>1014316.6930349399</v>
      </c>
      <c r="V158" s="21">
        <f>SUMIFS('Projections by County'!$D$10:$D$36,'Projections by County'!$A$10:$A$36,$B158,'Projections by County'!$C$10:$C$36,"Natural Gas",'Projections by County'!$B$10:$B$36,"Commercial")</f>
        <v>1213025.5649999999</v>
      </c>
      <c r="W158" s="116"/>
      <c r="X158" s="116">
        <f>IFERROR(SUMIF('nres bld data'!$V$3:$V$254,"="&amp;$B158&amp;$C158&amp;$D158,'nres bld data'!P$3:P$254)/SUMIF('nres bld data'!$V$3:$V$254,"="&amp;$B158&amp;$C158&amp;$D158,'nres bld data'!$T$3:$T$254),0)</f>
        <v>0</v>
      </c>
      <c r="Y158" s="116">
        <f>IFERROR(SUMIF('nres bld data'!$V$3:$V$254,"="&amp;$B158&amp;$C158&amp;$D158,'nres bld data'!Q$3:Q$254)/SUMIF('nres bld data'!$V$3:$V$254,"="&amp;$B158&amp;$C158&amp;$D158,'nres bld data'!$T$3:$T$254),0)</f>
        <v>1</v>
      </c>
      <c r="AA158" s="116">
        <f ca="1">IFERROR(SUMIF('nres bld data'!$V$3:$V$254,"="&amp;$B158&amp;$C158&amp;$D158,'nres bld data'!P$3:P$254)/SUMIF('nres bld data'!$W$256:$W$297,"="&amp;$B158&amp;$C158,'nres bld data'!P$256:P$297),0)</f>
        <v>0</v>
      </c>
      <c r="AB158" s="116">
        <f ca="1">IFERROR(SUMIF('nres bld data'!$V$3:$V$254,"="&amp;$B158&amp;$C158&amp;$D158,'nres bld data'!Q$3:Q$254)/SUMIF('nres bld data'!$W$256:$W$297,"="&amp;$B158&amp;$C158,'nres bld data'!Q$256:Q$297),0)</f>
        <v>0.52387851817053854</v>
      </c>
    </row>
    <row r="159" spans="2:28">
      <c r="B159" s="20" t="s">
        <v>9</v>
      </c>
      <c r="C159" s="20" t="s">
        <v>464</v>
      </c>
      <c r="D159" s="20" t="s">
        <v>429</v>
      </c>
      <c r="E159" s="55">
        <f t="shared" ca="1" si="0"/>
        <v>0</v>
      </c>
      <c r="F159" s="55">
        <f t="shared" ca="1" si="1"/>
        <v>0</v>
      </c>
      <c r="G159" s="21">
        <f>IFERROR(SUMIF('nres bld data'!$A$3:$A$38,B159&amp;C159,'nres bld data'!$D$3:$D$38),0)</f>
        <v>0</v>
      </c>
      <c r="H159" s="21">
        <f t="shared" ref="H159:I159" ca="1" si="163">$T159*U159</f>
        <v>0</v>
      </c>
      <c r="I159" s="21">
        <f t="shared" ca="1" si="163"/>
        <v>0</v>
      </c>
      <c r="J159" s="21"/>
      <c r="K159" s="21"/>
      <c r="S159" s="115"/>
      <c r="T159" s="22">
        <f ca="1">G159/SUMIF('nres bld data'!$B$3:$B$38,$B159,'nres bld data'!$D$3:$D$38)</f>
        <v>0</v>
      </c>
      <c r="U159" s="21">
        <f>SUMIFS('Projections by County'!$D$10:$D$36,'Projections by County'!$A$10:$A$36,$B159,'Projections by County'!$C$10:$C$36,"Electricity (kWh)",'Projections by County'!$B$10:$B$36,"Commercial")*BTU_per_kWh/1000000</f>
        <v>1014316.6930349399</v>
      </c>
      <c r="V159" s="21">
        <f>SUMIFS('Projections by County'!$D$10:$D$36,'Projections by County'!$A$10:$A$36,$B159,'Projections by County'!$C$10:$C$36,"Natural Gas",'Projections by County'!$B$10:$B$36,"Commercial")</f>
        <v>1213025.5649999999</v>
      </c>
      <c r="W159" s="116"/>
      <c r="X159" s="116">
        <f>IFERROR(SUMIF('nres bld data'!$V$3:$V$254,"="&amp;$B159&amp;$C159&amp;$D159,'nres bld data'!P$3:P$254)/SUMIF('nres bld data'!$V$3:$V$254,"="&amp;$B159&amp;$C159&amp;$D159,'nres bld data'!$T$3:$T$254),0)</f>
        <v>1</v>
      </c>
      <c r="Y159" s="116">
        <f>IFERROR(SUMIF('nres bld data'!$V$3:$V$254,"="&amp;$B159&amp;$C159&amp;$D159,'nres bld data'!Q$3:Q$254)/SUMIF('nres bld data'!$V$3:$V$254,"="&amp;$B159&amp;$C159&amp;$D159,'nres bld data'!$T$3:$T$254),0)</f>
        <v>0</v>
      </c>
      <c r="AA159" s="116">
        <f ca="1">IFERROR(SUMIF('nres bld data'!$V$3:$V$254,"="&amp;$B159&amp;$C159&amp;$D159,'nres bld data'!P$3:P$254)/SUMIF('nres bld data'!$W$256:$W$297,"="&amp;$B159&amp;$C159,'nres bld data'!P$256:P$297),0)</f>
        <v>0.38409037438040139</v>
      </c>
      <c r="AB159" s="116">
        <f ca="1">IFERROR(SUMIF('nres bld data'!$V$3:$V$254,"="&amp;$B159&amp;$C159&amp;$D159,'nres bld data'!Q$3:Q$254)/SUMIF('nres bld data'!$W$256:$W$297,"="&amp;$B159&amp;$C159,'nres bld data'!Q$256:Q$297),0)</f>
        <v>0</v>
      </c>
    </row>
    <row r="160" spans="2:28">
      <c r="B160" s="20" t="s">
        <v>9</v>
      </c>
      <c r="C160" s="20" t="s">
        <v>464</v>
      </c>
      <c r="D160" s="20" t="s">
        <v>433</v>
      </c>
      <c r="E160" s="55">
        <f t="shared" ca="1" si="0"/>
        <v>0</v>
      </c>
      <c r="F160" s="55">
        <f t="shared" ca="1" si="1"/>
        <v>0</v>
      </c>
      <c r="G160" s="21">
        <f>IFERROR(SUMIF('nres bld data'!$A$3:$A$38,B160&amp;C160,'nres bld data'!$D$3:$D$38),0)</f>
        <v>0</v>
      </c>
      <c r="H160" s="21">
        <f t="shared" ref="H160:I160" ca="1" si="164">$T160*U160</f>
        <v>0</v>
      </c>
      <c r="I160" s="21">
        <f t="shared" ca="1" si="164"/>
        <v>0</v>
      </c>
      <c r="J160" s="21"/>
      <c r="K160" s="21"/>
      <c r="S160" s="115"/>
      <c r="T160" s="22">
        <f ca="1">G160/SUMIF('nres bld data'!$B$3:$B$38,$B160,'nres bld data'!$D$3:$D$38)</f>
        <v>0</v>
      </c>
      <c r="U160" s="21">
        <f>SUMIFS('Projections by County'!$D$10:$D$36,'Projections by County'!$A$10:$A$36,$B160,'Projections by County'!$C$10:$C$36,"Electricity (kWh)",'Projections by County'!$B$10:$B$36,"Commercial")*BTU_per_kWh/1000000</f>
        <v>1014316.6930349399</v>
      </c>
      <c r="V160" s="21">
        <f>SUMIFS('Projections by County'!$D$10:$D$36,'Projections by County'!$A$10:$A$36,$B160,'Projections by County'!$C$10:$C$36,"Natural Gas",'Projections by County'!$B$10:$B$36,"Commercial")</f>
        <v>1213025.5649999999</v>
      </c>
      <c r="W160" s="116"/>
      <c r="X160" s="116">
        <f>IFERROR(SUMIF('nres bld data'!$V$3:$V$254,"="&amp;$B160&amp;$C160&amp;$D160,'nres bld data'!P$3:P$254)/SUMIF('nres bld data'!$V$3:$V$254,"="&amp;$B160&amp;$C160&amp;$D160,'nres bld data'!$T$3:$T$254),0)</f>
        <v>1</v>
      </c>
      <c r="Y160" s="116">
        <f>IFERROR(SUMIF('nres bld data'!$V$3:$V$254,"="&amp;$B160&amp;$C160&amp;$D160,'nres bld data'!Q$3:Q$254)/SUMIF('nres bld data'!$V$3:$V$254,"="&amp;$B160&amp;$C160&amp;$D160,'nres bld data'!$T$3:$T$254),0)</f>
        <v>0</v>
      </c>
      <c r="AA160" s="116">
        <f ca="1">IFERROR(SUMIF('nres bld data'!$V$3:$V$254,"="&amp;$B160&amp;$C160&amp;$D160,'nres bld data'!P$3:P$254)/SUMIF('nres bld data'!$W$256:$W$297,"="&amp;$B160&amp;$C160,'nres bld data'!P$256:P$297),0)</f>
        <v>0.21958708488455972</v>
      </c>
      <c r="AB160" s="116">
        <f ca="1">IFERROR(SUMIF('nres bld data'!$V$3:$V$254,"="&amp;$B160&amp;$C160&amp;$D160,'nres bld data'!Q$3:Q$254)/SUMIF('nres bld data'!$W$256:$W$297,"="&amp;$B160&amp;$C160,'nres bld data'!Q$256:Q$297),0)</f>
        <v>0</v>
      </c>
    </row>
    <row r="161" spans="2:28">
      <c r="B161" s="20" t="s">
        <v>9</v>
      </c>
      <c r="C161" s="20" t="s">
        <v>464</v>
      </c>
      <c r="D161" s="20" t="s">
        <v>437</v>
      </c>
      <c r="E161" s="55">
        <f t="shared" ca="1" si="0"/>
        <v>0</v>
      </c>
      <c r="F161" s="55">
        <f t="shared" ca="1" si="1"/>
        <v>0</v>
      </c>
      <c r="G161" s="21">
        <f>IFERROR(SUMIF('nres bld data'!$A$3:$A$38,B161&amp;C161,'nres bld data'!$D$3:$D$38),0)</f>
        <v>0</v>
      </c>
      <c r="H161" s="21">
        <f t="shared" ref="H161:I161" ca="1" si="165">$T161*U161</f>
        <v>0</v>
      </c>
      <c r="I161" s="21">
        <f t="shared" ca="1" si="165"/>
        <v>0</v>
      </c>
      <c r="J161" s="21"/>
      <c r="K161" s="21"/>
      <c r="S161" s="115"/>
      <c r="T161" s="22">
        <f ca="1">G161/SUMIF('nres bld data'!$B$3:$B$38,$B161,'nres bld data'!$D$3:$D$38)</f>
        <v>0</v>
      </c>
      <c r="U161" s="21">
        <f>SUMIFS('Projections by County'!$D$10:$D$36,'Projections by County'!$A$10:$A$36,$B161,'Projections by County'!$C$10:$C$36,"Electricity (kWh)",'Projections by County'!$B$10:$B$36,"Commercial")*BTU_per_kWh/1000000</f>
        <v>1014316.6930349399</v>
      </c>
      <c r="V161" s="21">
        <f>SUMIFS('Projections by County'!$D$10:$D$36,'Projections by County'!$A$10:$A$36,$B161,'Projections by County'!$C$10:$C$36,"Natural Gas",'Projections by County'!$B$10:$B$36,"Commercial")</f>
        <v>1213025.5649999999</v>
      </c>
      <c r="W161" s="116"/>
      <c r="X161" s="116">
        <f>IFERROR(SUMIF('nres bld data'!$V$3:$V$254,"="&amp;$B161&amp;$C161&amp;$D161,'nres bld data'!P$3:P$254)/SUMIF('nres bld data'!$V$3:$V$254,"="&amp;$B161&amp;$C161&amp;$D161,'nres bld data'!$T$3:$T$254),0)</f>
        <v>1</v>
      </c>
      <c r="Y161" s="116">
        <f>IFERROR(SUMIF('nres bld data'!$V$3:$V$254,"="&amp;$B161&amp;$C161&amp;$D161,'nres bld data'!Q$3:Q$254)/SUMIF('nres bld data'!$V$3:$V$254,"="&amp;$B161&amp;$C161&amp;$D161,'nres bld data'!$T$3:$T$254),0)</f>
        <v>0</v>
      </c>
      <c r="AA161" s="116">
        <f ca="1">IFERROR(SUMIF('nres bld data'!$V$3:$V$254,"="&amp;$B161&amp;$C161&amp;$D161,'nres bld data'!P$3:P$254)/SUMIF('nres bld data'!$W$256:$W$297,"="&amp;$B161&amp;$C161,'nres bld data'!P$256:P$297),0)</f>
        <v>0.1893145630585383</v>
      </c>
      <c r="AB161" s="116">
        <f ca="1">IFERROR(SUMIF('nres bld data'!$V$3:$V$254,"="&amp;$B161&amp;$C161&amp;$D161,'nres bld data'!Q$3:Q$254)/SUMIF('nres bld data'!$W$256:$W$297,"="&amp;$B161&amp;$C161,'nres bld data'!Q$256:Q$297),0)</f>
        <v>0</v>
      </c>
    </row>
    <row r="162" spans="2:28">
      <c r="B162" s="20" t="s">
        <v>9</v>
      </c>
      <c r="C162" s="20" t="s">
        <v>464</v>
      </c>
      <c r="D162" s="20" t="s">
        <v>440</v>
      </c>
      <c r="E162" s="55">
        <f t="shared" ca="1" si="0"/>
        <v>0</v>
      </c>
      <c r="F162" s="55">
        <f t="shared" ca="1" si="1"/>
        <v>0</v>
      </c>
      <c r="G162" s="21">
        <f>IFERROR(SUMIF('nres bld data'!$A$3:$A$38,B162&amp;C162,'nres bld data'!$D$3:$D$38),0)</f>
        <v>0</v>
      </c>
      <c r="H162" s="21">
        <f t="shared" ref="H162:I162" ca="1" si="166">$T162*U162</f>
        <v>0</v>
      </c>
      <c r="I162" s="21">
        <f t="shared" ca="1" si="166"/>
        <v>0</v>
      </c>
      <c r="J162" s="21"/>
      <c r="K162" s="21"/>
      <c r="S162" s="115"/>
      <c r="T162" s="22">
        <f ca="1">G162/SUMIF('nres bld data'!$B$3:$B$38,$B162,'nres bld data'!$D$3:$D$38)</f>
        <v>0</v>
      </c>
      <c r="U162" s="21">
        <f>SUMIFS('Projections by County'!$D$10:$D$36,'Projections by County'!$A$10:$A$36,$B162,'Projections by County'!$C$10:$C$36,"Electricity (kWh)",'Projections by County'!$B$10:$B$36,"Commercial")*BTU_per_kWh/1000000</f>
        <v>1014316.6930349399</v>
      </c>
      <c r="V162" s="21">
        <f>SUMIFS('Projections by County'!$D$10:$D$36,'Projections by County'!$A$10:$A$36,$B162,'Projections by County'!$C$10:$C$36,"Natural Gas",'Projections by County'!$B$10:$B$36,"Commercial")</f>
        <v>1213025.5649999999</v>
      </c>
      <c r="W162" s="116"/>
      <c r="X162" s="116">
        <f>IFERROR(SUMIF('nres bld data'!$V$3:$V$254,"="&amp;$B162&amp;$C162&amp;$D162,'nres bld data'!P$3:P$254)/SUMIF('nres bld data'!$V$3:$V$254,"="&amp;$B162&amp;$C162&amp;$D162,'nres bld data'!$T$3:$T$254),0)</f>
        <v>1</v>
      </c>
      <c r="Y162" s="116">
        <f>IFERROR(SUMIF('nres bld data'!$V$3:$V$254,"="&amp;$B162&amp;$C162&amp;$D162,'nres bld data'!Q$3:Q$254)/SUMIF('nres bld data'!$V$3:$V$254,"="&amp;$B162&amp;$C162&amp;$D162,'nres bld data'!$T$3:$T$254),0)</f>
        <v>0</v>
      </c>
      <c r="AA162" s="116">
        <f ca="1">IFERROR(SUMIF('nres bld data'!$V$3:$V$254,"="&amp;$B162&amp;$C162&amp;$D162,'nres bld data'!P$3:P$254)/SUMIF('nres bld data'!$W$256:$W$297,"="&amp;$B162&amp;$C162,'nres bld data'!P$256:P$297),0)</f>
        <v>0.10166599826918821</v>
      </c>
      <c r="AB162" s="116">
        <f ca="1">IFERROR(SUMIF('nres bld data'!$V$3:$V$254,"="&amp;$B162&amp;$C162&amp;$D162,'nres bld data'!Q$3:Q$254)/SUMIF('nres bld data'!$W$256:$W$297,"="&amp;$B162&amp;$C162,'nres bld data'!Q$256:Q$297),0)</f>
        <v>0</v>
      </c>
    </row>
    <row r="163" spans="2:28">
      <c r="B163" s="20" t="s">
        <v>9</v>
      </c>
      <c r="C163" s="20" t="s">
        <v>464</v>
      </c>
      <c r="D163" s="20" t="s">
        <v>443</v>
      </c>
      <c r="E163" s="55">
        <f t="shared" ca="1" si="0"/>
        <v>0</v>
      </c>
      <c r="F163" s="55">
        <f t="shared" ca="1" si="1"/>
        <v>0</v>
      </c>
      <c r="G163" s="21">
        <f>IFERROR(SUMIF('nres bld data'!$A$3:$A$38,B163&amp;C163,'nres bld data'!$D$3:$D$38),0)</f>
        <v>0</v>
      </c>
      <c r="H163" s="21">
        <f t="shared" ref="H163:I163" ca="1" si="167">$T163*U163</f>
        <v>0</v>
      </c>
      <c r="I163" s="21">
        <f t="shared" ca="1" si="167"/>
        <v>0</v>
      </c>
      <c r="J163" s="21"/>
      <c r="K163" s="21"/>
      <c r="S163" s="115"/>
      <c r="T163" s="22">
        <f ca="1">G163/SUMIF('nres bld data'!$B$3:$B$38,$B163,'nres bld data'!$D$3:$D$38)</f>
        <v>0</v>
      </c>
      <c r="U163" s="21">
        <f>SUMIFS('Projections by County'!$D$10:$D$36,'Projections by County'!$A$10:$A$36,$B163,'Projections by County'!$C$10:$C$36,"Electricity (kWh)",'Projections by County'!$B$10:$B$36,"Commercial")*BTU_per_kWh/1000000</f>
        <v>1014316.6930349399</v>
      </c>
      <c r="V163" s="21">
        <f>SUMIFS('Projections by County'!$D$10:$D$36,'Projections by County'!$A$10:$A$36,$B163,'Projections by County'!$C$10:$C$36,"Natural Gas",'Projections by County'!$B$10:$B$36,"Commercial")</f>
        <v>1213025.5649999999</v>
      </c>
      <c r="W163" s="116"/>
      <c r="X163" s="116">
        <f>IFERROR(SUMIF('nres bld data'!$V$3:$V$254,"="&amp;$B163&amp;$C163&amp;$D163,'nres bld data'!P$3:P$254)/SUMIF('nres bld data'!$V$3:$V$254,"="&amp;$B163&amp;$C163&amp;$D163,'nres bld data'!$T$3:$T$254),0)</f>
        <v>0.17327399734647816</v>
      </c>
      <c r="Y163" s="116">
        <f>IFERROR(SUMIF('nres bld data'!$V$3:$V$254,"="&amp;$B163&amp;$C163&amp;$D163,'nres bld data'!Q$3:Q$254)/SUMIF('nres bld data'!$V$3:$V$254,"="&amp;$B163&amp;$C163&amp;$D163,'nres bld data'!$T$3:$T$254),0)</f>
        <v>0.73705578284149942</v>
      </c>
      <c r="AA163" s="116">
        <f ca="1">IFERROR(SUMIF('nres bld data'!$V$3:$V$254,"="&amp;$B163&amp;$C163&amp;$D163,'nres bld data'!P$3:P$254)/SUMIF('nres bld data'!$W$256:$W$297,"="&amp;$B163&amp;$C163,'nres bld data'!P$256:P$297),0)</f>
        <v>8.3560112660645752E-2</v>
      </c>
      <c r="AB163" s="116">
        <f ca="1">IFERROR(SUMIF('nres bld data'!$V$3:$V$254,"="&amp;$B163&amp;$C163&amp;$D163,'nres bld data'!Q$3:Q$254)/SUMIF('nres bld data'!$W$256:$W$297,"="&amp;$B163&amp;$C163,'nres bld data'!Q$256:Q$297),0)</f>
        <v>0.95048943923500784</v>
      </c>
    </row>
    <row r="164" spans="2:28">
      <c r="B164" s="20" t="s">
        <v>9</v>
      </c>
      <c r="C164" s="20" t="s">
        <v>464</v>
      </c>
      <c r="D164" s="20" t="s">
        <v>445</v>
      </c>
      <c r="E164" s="55">
        <f t="shared" ca="1" si="0"/>
        <v>0</v>
      </c>
      <c r="F164" s="55">
        <f t="shared" ca="1" si="1"/>
        <v>0</v>
      </c>
      <c r="G164" s="21">
        <f>IFERROR(SUMIF('nres bld data'!$A$3:$A$38,B164&amp;C164,'nres bld data'!$D$3:$D$38),0)</f>
        <v>0</v>
      </c>
      <c r="H164" s="21">
        <f t="shared" ref="H164:I164" ca="1" si="168">$T164*U164</f>
        <v>0</v>
      </c>
      <c r="I164" s="21">
        <f t="shared" ca="1" si="168"/>
        <v>0</v>
      </c>
      <c r="J164" s="21"/>
      <c r="K164" s="21"/>
      <c r="S164" s="115"/>
      <c r="T164" s="22">
        <f ca="1">G164/SUMIF('nres bld data'!$B$3:$B$38,$B164,'nres bld data'!$D$3:$D$38)</f>
        <v>0</v>
      </c>
      <c r="U164" s="21">
        <f>SUMIFS('Projections by County'!$D$10:$D$36,'Projections by County'!$A$10:$A$36,$B164,'Projections by County'!$C$10:$C$36,"Electricity (kWh)",'Projections by County'!$B$10:$B$36,"Commercial")*BTU_per_kWh/1000000</f>
        <v>1014316.6930349399</v>
      </c>
      <c r="V164" s="21">
        <f>SUMIFS('Projections by County'!$D$10:$D$36,'Projections by County'!$A$10:$A$36,$B164,'Projections by County'!$C$10:$C$36,"Natural Gas",'Projections by County'!$B$10:$B$36,"Commercial")</f>
        <v>1213025.5649999999</v>
      </c>
      <c r="W164" s="116"/>
      <c r="X164" s="116">
        <f>IFERROR(SUMIF('nres bld data'!$V$3:$V$254,"="&amp;$B164&amp;$C164&amp;$D164,'nres bld data'!P$3:P$254)/SUMIF('nres bld data'!$V$3:$V$254,"="&amp;$B164&amp;$C164&amp;$D164,'nres bld data'!$T$3:$T$254),0)</f>
        <v>0.49630850780007491</v>
      </c>
      <c r="Y164" s="116">
        <f>IFERROR(SUMIF('nres bld data'!$V$3:$V$254,"="&amp;$B164&amp;$C164&amp;$D164,'nres bld data'!Q$3:Q$254)/SUMIF('nres bld data'!$V$3:$V$254,"="&amp;$B164&amp;$C164&amp;$D164,'nres bld data'!$T$3:$T$254),0)</f>
        <v>0.42186466703840492</v>
      </c>
      <c r="AA164" s="116">
        <f ca="1">IFERROR(SUMIF('nres bld data'!$V$3:$V$254,"="&amp;$B164&amp;$C164&amp;$D164,'nres bld data'!P$3:P$254)/SUMIF('nres bld data'!$W$256:$W$297,"="&amp;$B164&amp;$C164,'nres bld data'!P$256:P$297),0)</f>
        <v>2.1781866746666448E-2</v>
      </c>
      <c r="AB164" s="116">
        <f ca="1">IFERROR(SUMIF('nres bld data'!$V$3:$V$254,"="&amp;$B164&amp;$C164&amp;$D164,'nres bld data'!Q$3:Q$254)/SUMIF('nres bld data'!$W$256:$W$297,"="&amp;$B164&amp;$C164,'nres bld data'!Q$256:Q$297),0)</f>
        <v>4.9510560764992204E-2</v>
      </c>
    </row>
    <row r="165" spans="2:28">
      <c r="B165" s="20" t="s">
        <v>9</v>
      </c>
      <c r="C165" s="20" t="s">
        <v>452</v>
      </c>
      <c r="D165" s="20" t="s">
        <v>429</v>
      </c>
      <c r="E165" s="55">
        <f t="shared" ca="1" si="0"/>
        <v>1.8748219007553257E-2</v>
      </c>
      <c r="F165" s="55">
        <f t="shared" ca="1" si="1"/>
        <v>0</v>
      </c>
      <c r="G165" s="21">
        <f ca="1">IFERROR(SUMIF('nres bld data'!$A$3:$A$38,B165&amp;C165,'nres bld data'!$D$3:$D$38),0)</f>
        <v>6002096</v>
      </c>
      <c r="H165" s="21">
        <f t="shared" ref="H165:I165" ca="1" si="169">$T165*U165</f>
        <v>204911.63008514704</v>
      </c>
      <c r="I165" s="21">
        <f t="shared" ca="1" si="169"/>
        <v>245054.67332434436</v>
      </c>
      <c r="J165" s="21"/>
      <c r="K165" s="21"/>
      <c r="S165" s="115"/>
      <c r="T165" s="22">
        <f ca="1">G165/SUMIF('nres bld data'!$B$3:$B$38,$B165,'nres bld data'!$D$3:$D$38)</f>
        <v>0.20201938062562133</v>
      </c>
      <c r="U165" s="21">
        <f>SUMIFS('Projections by County'!$D$10:$D$36,'Projections by County'!$A$10:$A$36,$B165,'Projections by County'!$C$10:$C$36,"Electricity (kWh)",'Projections by County'!$B$10:$B$36,"Commercial")*BTU_per_kWh/1000000</f>
        <v>1014316.6930349399</v>
      </c>
      <c r="V165" s="21">
        <f>SUMIFS('Projections by County'!$D$10:$D$36,'Projections by County'!$A$10:$A$36,$B165,'Projections by County'!$C$10:$C$36,"Natural Gas",'Projections by County'!$B$10:$B$36,"Commercial")</f>
        <v>1213025.5649999999</v>
      </c>
      <c r="W165" s="116"/>
      <c r="X165" s="116">
        <f>IFERROR(SUMIF('nres bld data'!$V$3:$V$254,"="&amp;$B165&amp;$C165&amp;$D165,'nres bld data'!P$3:P$254)/SUMIF('nres bld data'!$V$3:$V$254,"="&amp;$B165&amp;$C165&amp;$D165,'nres bld data'!$T$3:$T$254),0)</f>
        <v>1</v>
      </c>
      <c r="Y165" s="116">
        <f>IFERROR(SUMIF('nres bld data'!$V$3:$V$254,"="&amp;$B165&amp;$C165&amp;$D165,'nres bld data'!Q$3:Q$254)/SUMIF('nres bld data'!$V$3:$V$254,"="&amp;$B165&amp;$C165&amp;$D165,'nres bld data'!$T$3:$T$254),0)</f>
        <v>0</v>
      </c>
      <c r="AA165" s="116">
        <f ca="1">IFERROR(SUMIF('nres bld data'!$V$3:$V$254,"="&amp;$B165&amp;$C165&amp;$D165,'nres bld data'!P$3:P$254)/SUMIF('nres bld data'!$W$256:$W$297,"="&amp;$B165&amp;$C165,'nres bld data'!P$256:P$297),0)</f>
        <v>0.54915677682911557</v>
      </c>
      <c r="AB165" s="116">
        <f ca="1">IFERROR(SUMIF('nres bld data'!$V$3:$V$254,"="&amp;$B165&amp;$C165&amp;$D165,'nres bld data'!Q$3:Q$254)/SUMIF('nres bld data'!$W$256:$W$297,"="&amp;$B165&amp;$C165,'nres bld data'!Q$256:Q$297),0)</f>
        <v>0</v>
      </c>
    </row>
    <row r="166" spans="2:28">
      <c r="B166" s="20" t="s">
        <v>9</v>
      </c>
      <c r="C166" s="20" t="s">
        <v>452</v>
      </c>
      <c r="D166" s="20" t="s">
        <v>433</v>
      </c>
      <c r="E166" s="55">
        <f t="shared" ca="1" si="0"/>
        <v>9.07887119652019E-4</v>
      </c>
      <c r="F166" s="55">
        <f t="shared" ca="1" si="1"/>
        <v>0</v>
      </c>
      <c r="G166" s="21">
        <f ca="1">IFERROR(SUMIF('nres bld data'!$A$3:$A$38,B166&amp;C166,'nres bld data'!$D$3:$D$38),0)</f>
        <v>6002096</v>
      </c>
      <c r="H166" s="21">
        <f t="shared" ref="H166:I166" ca="1" si="170">$T166*U166</f>
        <v>204911.63008514704</v>
      </c>
      <c r="I166" s="21">
        <f t="shared" ca="1" si="170"/>
        <v>245054.67332434436</v>
      </c>
      <c r="J166" s="21"/>
      <c r="K166" s="21"/>
      <c r="S166" s="115"/>
      <c r="T166" s="22">
        <f ca="1">G166/SUMIF('nres bld data'!$B$3:$B$38,$B166,'nres bld data'!$D$3:$D$38)</f>
        <v>0.20201938062562133</v>
      </c>
      <c r="U166" s="21">
        <f>SUMIFS('Projections by County'!$D$10:$D$36,'Projections by County'!$A$10:$A$36,$B166,'Projections by County'!$C$10:$C$36,"Electricity (kWh)",'Projections by County'!$B$10:$B$36,"Commercial")*BTU_per_kWh/1000000</f>
        <v>1014316.6930349399</v>
      </c>
      <c r="V166" s="21">
        <f>SUMIFS('Projections by County'!$D$10:$D$36,'Projections by County'!$A$10:$A$36,$B166,'Projections by County'!$C$10:$C$36,"Natural Gas",'Projections by County'!$B$10:$B$36,"Commercial")</f>
        <v>1213025.5649999999</v>
      </c>
      <c r="W166" s="116"/>
      <c r="X166" s="116">
        <f>IFERROR(SUMIF('nres bld data'!$V$3:$V$254,"="&amp;$B166&amp;$C166&amp;$D166,'nres bld data'!P$3:P$254)/SUMIF('nres bld data'!$V$3:$V$254,"="&amp;$B166&amp;$C166&amp;$D166,'nres bld data'!$T$3:$T$254),0)</f>
        <v>1</v>
      </c>
      <c r="Y166" s="116">
        <f>IFERROR(SUMIF('nres bld data'!$V$3:$V$254,"="&amp;$B166&amp;$C166&amp;$D166,'nres bld data'!Q$3:Q$254)/SUMIF('nres bld data'!$V$3:$V$254,"="&amp;$B166&amp;$C166&amp;$D166,'nres bld data'!$T$3:$T$254),0)</f>
        <v>0</v>
      </c>
      <c r="AA166" s="116">
        <f ca="1">IFERROR(SUMIF('nres bld data'!$V$3:$V$254,"="&amp;$B166&amp;$C166&amp;$D166,'nres bld data'!P$3:P$254)/SUMIF('nres bld data'!$W$256:$W$297,"="&amp;$B166&amp;$C166,'nres bld data'!P$256:P$297),0)</f>
        <v>2.6593052073474718E-2</v>
      </c>
      <c r="AB166" s="116">
        <f ca="1">IFERROR(SUMIF('nres bld data'!$V$3:$V$254,"="&amp;$B166&amp;$C166&amp;$D166,'nres bld data'!Q$3:Q$254)/SUMIF('nres bld data'!$W$256:$W$297,"="&amp;$B166&amp;$C166,'nres bld data'!Q$256:Q$297),0)</f>
        <v>0</v>
      </c>
    </row>
    <row r="167" spans="2:28">
      <c r="B167" s="20" t="s">
        <v>9</v>
      </c>
      <c r="C167" s="20" t="s">
        <v>452</v>
      </c>
      <c r="D167" s="20" t="s">
        <v>437</v>
      </c>
      <c r="E167" s="55">
        <f t="shared" ca="1" si="0"/>
        <v>1.2842292446093806E-2</v>
      </c>
      <c r="F167" s="55">
        <f t="shared" ca="1" si="1"/>
        <v>0</v>
      </c>
      <c r="G167" s="21">
        <f ca="1">IFERROR(SUMIF('nres bld data'!$A$3:$A$38,B167&amp;C167,'nres bld data'!$D$3:$D$38),0)</f>
        <v>6002096</v>
      </c>
      <c r="H167" s="21">
        <f t="shared" ref="H167:I167" ca="1" si="171">$T167*U167</f>
        <v>204911.63008514704</v>
      </c>
      <c r="I167" s="21">
        <f t="shared" ca="1" si="171"/>
        <v>245054.67332434436</v>
      </c>
      <c r="J167" s="21"/>
      <c r="K167" s="21"/>
      <c r="S167" s="115"/>
      <c r="T167" s="22">
        <f ca="1">G167/SUMIF('nres bld data'!$B$3:$B$38,$B167,'nres bld data'!$D$3:$D$38)</f>
        <v>0.20201938062562133</v>
      </c>
      <c r="U167" s="21">
        <f>SUMIFS('Projections by County'!$D$10:$D$36,'Projections by County'!$A$10:$A$36,$B167,'Projections by County'!$C$10:$C$36,"Electricity (kWh)",'Projections by County'!$B$10:$B$36,"Commercial")*BTU_per_kWh/1000000</f>
        <v>1014316.6930349399</v>
      </c>
      <c r="V167" s="21">
        <f>SUMIFS('Projections by County'!$D$10:$D$36,'Projections by County'!$A$10:$A$36,$B167,'Projections by County'!$C$10:$C$36,"Natural Gas",'Projections by County'!$B$10:$B$36,"Commercial")</f>
        <v>1213025.5649999999</v>
      </c>
      <c r="W167" s="116"/>
      <c r="X167" s="116">
        <f>IFERROR(SUMIF('nres bld data'!$V$3:$V$254,"="&amp;$B167&amp;$C167&amp;$D167,'nres bld data'!P$3:P$254)/SUMIF('nres bld data'!$V$3:$V$254,"="&amp;$B167&amp;$C167&amp;$D167,'nres bld data'!$T$3:$T$254),0)</f>
        <v>1</v>
      </c>
      <c r="Y167" s="116">
        <f>IFERROR(SUMIF('nres bld data'!$V$3:$V$254,"="&amp;$B167&amp;$C167&amp;$D167,'nres bld data'!Q$3:Q$254)/SUMIF('nres bld data'!$V$3:$V$254,"="&amp;$B167&amp;$C167&amp;$D167,'nres bld data'!$T$3:$T$254),0)</f>
        <v>0</v>
      </c>
      <c r="AA167" s="116">
        <f ca="1">IFERROR(SUMIF('nres bld data'!$V$3:$V$254,"="&amp;$B167&amp;$C167&amp;$D167,'nres bld data'!P$3:P$254)/SUMIF('nres bld data'!$W$256:$W$297,"="&amp;$B167&amp;$C167,'nres bld data'!P$256:P$297),0)</f>
        <v>0.37616543331142538</v>
      </c>
      <c r="AB167" s="116">
        <f ca="1">IFERROR(SUMIF('nres bld data'!$V$3:$V$254,"="&amp;$B167&amp;$C167&amp;$D167,'nres bld data'!Q$3:Q$254)/SUMIF('nres bld data'!$W$256:$W$297,"="&amp;$B167&amp;$C167,'nres bld data'!Q$256:Q$297),0)</f>
        <v>0</v>
      </c>
    </row>
    <row r="168" spans="2:28">
      <c r="B168" s="20" t="s">
        <v>9</v>
      </c>
      <c r="C168" s="20" t="s">
        <v>452</v>
      </c>
      <c r="D168" s="20" t="s">
        <v>440</v>
      </c>
      <c r="E168" s="55">
        <f t="shared" ca="1" si="0"/>
        <v>2.2409072794028377E-4</v>
      </c>
      <c r="F168" s="55">
        <f t="shared" ca="1" si="1"/>
        <v>0</v>
      </c>
      <c r="G168" s="21">
        <f ca="1">IFERROR(SUMIF('nres bld data'!$A$3:$A$38,B168&amp;C168,'nres bld data'!$D$3:$D$38),0)</f>
        <v>6002096</v>
      </c>
      <c r="H168" s="21">
        <f t="shared" ref="H168:I168" ca="1" si="172">$T168*U168</f>
        <v>204911.63008514704</v>
      </c>
      <c r="I168" s="21">
        <f t="shared" ca="1" si="172"/>
        <v>245054.67332434436</v>
      </c>
      <c r="J168" s="21"/>
      <c r="K168" s="21"/>
      <c r="S168" s="115"/>
      <c r="T168" s="22">
        <f ca="1">G168/SUMIF('nres bld data'!$B$3:$B$38,$B168,'nres bld data'!$D$3:$D$38)</f>
        <v>0.20201938062562133</v>
      </c>
      <c r="U168" s="21">
        <f>SUMIFS('Projections by County'!$D$10:$D$36,'Projections by County'!$A$10:$A$36,$B168,'Projections by County'!$C$10:$C$36,"Electricity (kWh)",'Projections by County'!$B$10:$B$36,"Commercial")*BTU_per_kWh/1000000</f>
        <v>1014316.6930349399</v>
      </c>
      <c r="V168" s="21">
        <f>SUMIFS('Projections by County'!$D$10:$D$36,'Projections by County'!$A$10:$A$36,$B168,'Projections by County'!$C$10:$C$36,"Natural Gas",'Projections by County'!$B$10:$B$36,"Commercial")</f>
        <v>1213025.5649999999</v>
      </c>
      <c r="W168" s="116"/>
      <c r="X168" s="116">
        <f>IFERROR(SUMIF('nres bld data'!$V$3:$V$254,"="&amp;$B168&amp;$C168&amp;$D168,'nres bld data'!P$3:P$254)/SUMIF('nres bld data'!$V$3:$V$254,"="&amp;$B168&amp;$C168&amp;$D168,'nres bld data'!$T$3:$T$254),0)</f>
        <v>1</v>
      </c>
      <c r="Y168" s="116">
        <f>IFERROR(SUMIF('nres bld data'!$V$3:$V$254,"="&amp;$B168&amp;$C168&amp;$D168,'nres bld data'!Q$3:Q$254)/SUMIF('nres bld data'!$V$3:$V$254,"="&amp;$B168&amp;$C168&amp;$D168,'nres bld data'!$T$3:$T$254),0)</f>
        <v>0</v>
      </c>
      <c r="AA168" s="116">
        <f ca="1">IFERROR(SUMIF('nres bld data'!$V$3:$V$254,"="&amp;$B168&amp;$C168&amp;$D168,'nres bld data'!P$3:P$254)/SUMIF('nres bld data'!$W$256:$W$297,"="&amp;$B168&amp;$C168,'nres bld data'!P$256:P$297),0)</f>
        <v>6.5638737110654526E-3</v>
      </c>
      <c r="AB168" s="116">
        <f ca="1">IFERROR(SUMIF('nres bld data'!$V$3:$V$254,"="&amp;$B168&amp;$C168&amp;$D168,'nres bld data'!Q$3:Q$254)/SUMIF('nres bld data'!$W$256:$W$297,"="&amp;$B168&amp;$C168,'nres bld data'!Q$256:Q$297),0)</f>
        <v>0</v>
      </c>
    </row>
    <row r="169" spans="2:28">
      <c r="B169" s="20" t="s">
        <v>9</v>
      </c>
      <c r="C169" s="20" t="s">
        <v>452</v>
      </c>
      <c r="D169" s="20" t="s">
        <v>443</v>
      </c>
      <c r="E169" s="55">
        <f t="shared" ca="1" si="0"/>
        <v>1.4175228020570534E-3</v>
      </c>
      <c r="F169" s="55">
        <f t="shared" ca="1" si="1"/>
        <v>4.0828182908827906E-2</v>
      </c>
      <c r="G169" s="21">
        <f ca="1">IFERROR(SUMIF('nres bld data'!$A$3:$A$38,B169&amp;C169,'nres bld data'!$D$3:$D$38),0)</f>
        <v>6002096</v>
      </c>
      <c r="H169" s="21">
        <f t="shared" ref="H169:I169" ca="1" si="173">$T169*U169</f>
        <v>204911.63008514704</v>
      </c>
      <c r="I169" s="21">
        <f t="shared" ca="1" si="173"/>
        <v>245054.67332434436</v>
      </c>
      <c r="J169" s="21"/>
      <c r="K169" s="21"/>
      <c r="S169" s="115"/>
      <c r="T169" s="22">
        <f ca="1">G169/SUMIF('nres bld data'!$B$3:$B$38,$B169,'nres bld data'!$D$3:$D$38)</f>
        <v>0.20201938062562133</v>
      </c>
      <c r="U169" s="21">
        <f>SUMIFS('Projections by County'!$D$10:$D$36,'Projections by County'!$A$10:$A$36,$B169,'Projections by County'!$C$10:$C$36,"Electricity (kWh)",'Projections by County'!$B$10:$B$36,"Commercial")*BTU_per_kWh/1000000</f>
        <v>1014316.6930349399</v>
      </c>
      <c r="V169" s="21">
        <f>SUMIFS('Projections by County'!$D$10:$D$36,'Projections by County'!$A$10:$A$36,$B169,'Projections by County'!$C$10:$C$36,"Natural Gas",'Projections by County'!$B$10:$B$36,"Commercial")</f>
        <v>1213025.5649999999</v>
      </c>
      <c r="W169" s="116"/>
      <c r="X169" s="116">
        <f>IFERROR(SUMIF('nres bld data'!$V$3:$V$254,"="&amp;$B169&amp;$C169&amp;$D169,'nres bld data'!P$3:P$254)/SUMIF('nres bld data'!$V$3:$V$254,"="&amp;$B169&amp;$C169&amp;$D169,'nres bld data'!$T$3:$T$254),0)</f>
        <v>0.29348688328523526</v>
      </c>
      <c r="Y169" s="116">
        <f>IFERROR(SUMIF('nres bld data'!$V$3:$V$254,"="&amp;$B169&amp;$C169&amp;$D169,'nres bld data'!Q$3:Q$254)/SUMIF('nres bld data'!$V$3:$V$254,"="&amp;$B169&amp;$C169&amp;$D169,'nres bld data'!$T$3:$T$254),0)</f>
        <v>0.67719433362691517</v>
      </c>
      <c r="AA169" s="116">
        <f ca="1">IFERROR(SUMIF('nres bld data'!$V$3:$V$254,"="&amp;$B169&amp;$C169&amp;$D169,'nres bld data'!P$3:P$254)/SUMIF('nres bld data'!$W$256:$W$297,"="&amp;$B169&amp;$C169,'nres bld data'!P$256:P$297),0)</f>
        <v>4.1520864074918805E-2</v>
      </c>
      <c r="AB169" s="116">
        <f ca="1">IFERROR(SUMIF('nres bld data'!$V$3:$V$254,"="&amp;$B169&amp;$C169&amp;$D169,'nres bld data'!Q$3:Q$254)/SUMIF('nres bld data'!$W$256:$W$297,"="&amp;$B169&amp;$C169,'nres bld data'!Q$256:Q$297),0)</f>
        <v>1</v>
      </c>
    </row>
    <row r="170" spans="2:28">
      <c r="B170" s="20" t="s">
        <v>9</v>
      </c>
      <c r="C170" s="20" t="s">
        <v>452</v>
      </c>
      <c r="D170" s="20" t="s">
        <v>445</v>
      </c>
      <c r="E170" s="55">
        <f t="shared" ca="1" si="0"/>
        <v>0</v>
      </c>
      <c r="F170" s="55">
        <f t="shared" ca="1" si="1"/>
        <v>0</v>
      </c>
      <c r="G170" s="21">
        <f ca="1">IFERROR(SUMIF('nres bld data'!$A$3:$A$38,B170&amp;C170,'nres bld data'!$D$3:$D$38),0)</f>
        <v>6002096</v>
      </c>
      <c r="H170" s="21">
        <f t="shared" ref="H170:I170" ca="1" si="174">$T170*U170</f>
        <v>204911.63008514704</v>
      </c>
      <c r="I170" s="21">
        <f t="shared" ca="1" si="174"/>
        <v>245054.67332434436</v>
      </c>
      <c r="J170" s="21"/>
      <c r="K170" s="21"/>
      <c r="S170" s="115"/>
      <c r="T170" s="22">
        <f ca="1">G170/SUMIF('nres bld data'!$B$3:$B$38,$B170,'nres bld data'!$D$3:$D$38)</f>
        <v>0.20201938062562133</v>
      </c>
      <c r="U170" s="21">
        <f>SUMIFS('Projections by County'!$D$10:$D$36,'Projections by County'!$A$10:$A$36,$B170,'Projections by County'!$C$10:$C$36,"Electricity (kWh)",'Projections by County'!$B$10:$B$36,"Commercial")*BTU_per_kWh/1000000</f>
        <v>1014316.6930349399</v>
      </c>
      <c r="V170" s="21">
        <f>SUMIFS('Projections by County'!$D$10:$D$36,'Projections by County'!$A$10:$A$36,$B170,'Projections by County'!$C$10:$C$36,"Natural Gas",'Projections by County'!$B$10:$B$36,"Commercial")</f>
        <v>1213025.5649999999</v>
      </c>
      <c r="W170" s="116"/>
      <c r="X170" s="116">
        <f>IFERROR(SUMIF('nres bld data'!$V$3:$V$254,"="&amp;$B170&amp;$C170&amp;$D170,'nres bld data'!P$3:P$254)/SUMIF('nres bld data'!$V$3:$V$254,"="&amp;$B170&amp;$C170&amp;$D170,'nres bld data'!$T$3:$T$254),0)</f>
        <v>0</v>
      </c>
      <c r="Y170" s="116">
        <f>IFERROR(SUMIF('nres bld data'!$V$3:$V$254,"="&amp;$B170&amp;$C170&amp;$D170,'nres bld data'!Q$3:Q$254)/SUMIF('nres bld data'!$V$3:$V$254,"="&amp;$B170&amp;$C170&amp;$D170,'nres bld data'!$T$3:$T$254),0)</f>
        <v>0</v>
      </c>
      <c r="AA170" s="116">
        <f ca="1">IFERROR(SUMIF('nres bld data'!$V$3:$V$254,"="&amp;$B170&amp;$C170&amp;$D170,'nres bld data'!P$3:P$254)/SUMIF('nres bld data'!$W$256:$W$297,"="&amp;$B170&amp;$C170,'nres bld data'!P$256:P$297),0)</f>
        <v>0</v>
      </c>
      <c r="AB170" s="116">
        <f ca="1">IFERROR(SUMIF('nres bld data'!$V$3:$V$254,"="&amp;$B170&amp;$C170&amp;$D170,'nres bld data'!Q$3:Q$254)/SUMIF('nres bld data'!$W$256:$W$297,"="&amp;$B170&amp;$C170,'nres bld data'!Q$256:Q$297),0)</f>
        <v>0</v>
      </c>
    </row>
    <row r="171" spans="2:28">
      <c r="B171" s="20" t="s">
        <v>10</v>
      </c>
      <c r="C171" s="20" t="s">
        <v>428</v>
      </c>
      <c r="D171" s="20" t="s">
        <v>429</v>
      </c>
      <c r="E171" s="55">
        <f t="shared" ca="1" si="0"/>
        <v>1.3948847303905554E-2</v>
      </c>
      <c r="F171" s="55">
        <f t="shared" ca="1" si="1"/>
        <v>2.2776790946056901E-2</v>
      </c>
      <c r="G171" s="21">
        <f ca="1">IFERROR(SUMIF('nres bld data'!$A$3:$A$38,B171&amp;C171,'nres bld data'!$D$3:$D$38),0)</f>
        <v>5246076</v>
      </c>
      <c r="H171" s="21">
        <f t="shared" ref="H171:I171" ca="1" si="175">$T171*U171</f>
        <v>224415.38209190898</v>
      </c>
      <c r="I171" s="21">
        <f t="shared" ca="1" si="175"/>
        <v>248968.53185893549</v>
      </c>
      <c r="J171" s="21"/>
      <c r="K171" s="21"/>
      <c r="S171" s="115"/>
      <c r="T171" s="22">
        <f ca="1">G171/SUMIF('nres bld data'!$B$3:$B$38,$B171,'nres bld data'!$D$3:$D$38)</f>
        <v>2.5651645780567344E-2</v>
      </c>
      <c r="U171" s="21">
        <f>SUMIFS('Projections by County'!$D$10:$D$36,'Projections by County'!$A$10:$A$36,$B171,'Projections by County'!$C$10:$C$36,"Electricity (kWh)",'Projections by County'!$B$10:$B$36,"Commercial")*BTU_per_kWh/1000000</f>
        <v>8748576.3686132394</v>
      </c>
      <c r="V171" s="21">
        <f>SUMIFS('Projections by County'!$D$10:$D$36,'Projections by County'!$A$10:$A$36,$B171,'Projections by County'!$C$10:$C$36,"Natural Gas",'Projections by County'!$B$10:$B$36,"Commercial")</f>
        <v>9705752.7609999999</v>
      </c>
      <c r="W171" s="116"/>
      <c r="X171" s="116">
        <f>IFERROR(SUMIF('nres bld data'!$V$3:$V$254,"="&amp;$B171&amp;$C171&amp;$D171,'nres bld data'!P$3:P$254)/SUMIF('nres bld data'!$V$3:$V$254,"="&amp;$B171&amp;$C171&amp;$D171,'nres bld data'!$T$3:$T$254),0)</f>
        <v>0.28042582763083812</v>
      </c>
      <c r="Y171" s="116">
        <f>IFERROR(SUMIF('nres bld data'!$V$3:$V$254,"="&amp;$B171&amp;$C171&amp;$D171,'nres bld data'!Q$3:Q$254)/SUMIF('nres bld data'!$V$3:$V$254,"="&amp;$B171&amp;$C171&amp;$D171,'nres bld data'!$T$3:$T$254),0)</f>
        <v>0.71957417236916188</v>
      </c>
      <c r="AA171" s="116">
        <f ca="1">IFERROR(SUMIF('nres bld data'!$V$3:$V$254,"="&amp;$B171&amp;$C171&amp;$D171,'nres bld data'!P$3:P$254)/SUMIF('nres bld data'!$W$256:$W$297,"="&amp;$B171&amp;$C171,'nres bld data'!P$256:P$297),0)</f>
        <v>0.32607708253578721</v>
      </c>
      <c r="AB171" s="116">
        <f ca="1">IFERROR(SUMIF('nres bld data'!$V$3:$V$254,"="&amp;$B171&amp;$C171&amp;$D171,'nres bld data'!Q$3:Q$254)/SUMIF('nres bld data'!$W$256:$W$297,"="&amp;$B171&amp;$C171,'nres bld data'!Q$256:Q$297),0)</f>
        <v>0.47993525706625539</v>
      </c>
    </row>
    <row r="172" spans="2:28">
      <c r="B172" s="20" t="s">
        <v>10</v>
      </c>
      <c r="C172" s="20" t="s">
        <v>428</v>
      </c>
      <c r="D172" s="20" t="s">
        <v>433</v>
      </c>
      <c r="E172" s="55">
        <f t="shared" ca="1" si="0"/>
        <v>1.1779112933652337E-2</v>
      </c>
      <c r="F172" s="55">
        <f t="shared" ca="1" si="1"/>
        <v>0</v>
      </c>
      <c r="G172" s="21">
        <f ca="1">IFERROR(SUMIF('nres bld data'!$A$3:$A$38,B172&amp;C172,'nres bld data'!$D$3:$D$38),0)</f>
        <v>5246076</v>
      </c>
      <c r="H172" s="21">
        <f t="shared" ref="H172:I172" ca="1" si="176">$T172*U172</f>
        <v>224415.38209190898</v>
      </c>
      <c r="I172" s="21">
        <f t="shared" ca="1" si="176"/>
        <v>248968.53185893549</v>
      </c>
      <c r="J172" s="21"/>
      <c r="K172" s="21"/>
      <c r="S172" s="115"/>
      <c r="T172" s="22">
        <f ca="1">G172/SUMIF('nres bld data'!$B$3:$B$38,$B172,'nres bld data'!$D$3:$D$38)</f>
        <v>2.5651645780567344E-2</v>
      </c>
      <c r="U172" s="21">
        <f>SUMIFS('Projections by County'!$D$10:$D$36,'Projections by County'!$A$10:$A$36,$B172,'Projections by County'!$C$10:$C$36,"Electricity (kWh)",'Projections by County'!$B$10:$B$36,"Commercial")*BTU_per_kWh/1000000</f>
        <v>8748576.3686132394</v>
      </c>
      <c r="V172" s="21">
        <f>SUMIFS('Projections by County'!$D$10:$D$36,'Projections by County'!$A$10:$A$36,$B172,'Projections by County'!$C$10:$C$36,"Natural Gas",'Projections by County'!$B$10:$B$36,"Commercial")</f>
        <v>9705752.7609999999</v>
      </c>
      <c r="W172" s="116"/>
      <c r="X172" s="116">
        <f>IFERROR(SUMIF('nres bld data'!$V$3:$V$254,"="&amp;$B172&amp;$C172&amp;$D172,'nres bld data'!P$3:P$254)/SUMIF('nres bld data'!$V$3:$V$254,"="&amp;$B172&amp;$C172&amp;$D172,'nres bld data'!$T$3:$T$254),0)</f>
        <v>1</v>
      </c>
      <c r="Y172" s="116">
        <f>IFERROR(SUMIF('nres bld data'!$V$3:$V$254,"="&amp;$B172&amp;$C172&amp;$D172,'nres bld data'!Q$3:Q$254)/SUMIF('nres bld data'!$V$3:$V$254,"="&amp;$B172&amp;$C172&amp;$D172,'nres bld data'!$T$3:$T$254),0)</f>
        <v>0</v>
      </c>
      <c r="AA172" s="116">
        <f ca="1">IFERROR(SUMIF('nres bld data'!$V$3:$V$254,"="&amp;$B172&amp;$C172&amp;$D172,'nres bld data'!P$3:P$254)/SUMIF('nres bld data'!$W$256:$W$297,"="&amp;$B172&amp;$C172,'nres bld data'!P$256:P$297),0)</f>
        <v>0.2753559987132051</v>
      </c>
      <c r="AB172" s="116">
        <f ca="1">IFERROR(SUMIF('nres bld data'!$V$3:$V$254,"="&amp;$B172&amp;$C172&amp;$D172,'nres bld data'!Q$3:Q$254)/SUMIF('nres bld data'!$W$256:$W$297,"="&amp;$B172&amp;$C172,'nres bld data'!Q$256:Q$297),0)</f>
        <v>0</v>
      </c>
    </row>
    <row r="173" spans="2:28">
      <c r="B173" s="20" t="s">
        <v>10</v>
      </c>
      <c r="C173" s="20" t="s">
        <v>428</v>
      </c>
      <c r="D173" s="20" t="s">
        <v>437</v>
      </c>
      <c r="E173" s="55">
        <f t="shared" ca="1" si="0"/>
        <v>5.1645259871888703E-3</v>
      </c>
      <c r="F173" s="55">
        <f t="shared" ca="1" si="1"/>
        <v>0</v>
      </c>
      <c r="G173" s="21">
        <f ca="1">IFERROR(SUMIF('nres bld data'!$A$3:$A$38,B173&amp;C173,'nres bld data'!$D$3:$D$38),0)</f>
        <v>5246076</v>
      </c>
      <c r="H173" s="21">
        <f t="shared" ref="H173:I173" ca="1" si="177">$T173*U173</f>
        <v>224415.38209190898</v>
      </c>
      <c r="I173" s="21">
        <f t="shared" ca="1" si="177"/>
        <v>248968.53185893549</v>
      </c>
      <c r="J173" s="21"/>
      <c r="K173" s="21"/>
      <c r="S173" s="115"/>
      <c r="T173" s="22">
        <f ca="1">G173/SUMIF('nres bld data'!$B$3:$B$38,$B173,'nres bld data'!$D$3:$D$38)</f>
        <v>2.5651645780567344E-2</v>
      </c>
      <c r="U173" s="21">
        <f>SUMIFS('Projections by County'!$D$10:$D$36,'Projections by County'!$A$10:$A$36,$B173,'Projections by County'!$C$10:$C$36,"Electricity (kWh)",'Projections by County'!$B$10:$B$36,"Commercial")*BTU_per_kWh/1000000</f>
        <v>8748576.3686132394</v>
      </c>
      <c r="V173" s="21">
        <f>SUMIFS('Projections by County'!$D$10:$D$36,'Projections by County'!$A$10:$A$36,$B173,'Projections by County'!$C$10:$C$36,"Natural Gas",'Projections by County'!$B$10:$B$36,"Commercial")</f>
        <v>9705752.7609999999</v>
      </c>
      <c r="W173" s="116"/>
      <c r="X173" s="116">
        <f>IFERROR(SUMIF('nres bld data'!$V$3:$V$254,"="&amp;$B173&amp;$C173&amp;$D173,'nres bld data'!P$3:P$254)/SUMIF('nres bld data'!$V$3:$V$254,"="&amp;$B173&amp;$C173&amp;$D173,'nres bld data'!$T$3:$T$254),0)</f>
        <v>1</v>
      </c>
      <c r="Y173" s="116">
        <f>IFERROR(SUMIF('nres bld data'!$V$3:$V$254,"="&amp;$B173&amp;$C173&amp;$D173,'nres bld data'!Q$3:Q$254)/SUMIF('nres bld data'!$V$3:$V$254,"="&amp;$B173&amp;$C173&amp;$D173,'nres bld data'!$T$3:$T$254),0)</f>
        <v>0</v>
      </c>
      <c r="AA173" s="116">
        <f ca="1">IFERROR(SUMIF('nres bld data'!$V$3:$V$254,"="&amp;$B173&amp;$C173&amp;$D173,'nres bld data'!P$3:P$254)/SUMIF('nres bld data'!$W$256:$W$297,"="&amp;$B173&amp;$C173,'nres bld data'!P$256:P$297),0)</f>
        <v>0.12072922800662451</v>
      </c>
      <c r="AB173" s="116">
        <f ca="1">IFERROR(SUMIF('nres bld data'!$V$3:$V$254,"="&amp;$B173&amp;$C173&amp;$D173,'nres bld data'!Q$3:Q$254)/SUMIF('nres bld data'!$W$256:$W$297,"="&amp;$B173&amp;$C173,'nres bld data'!Q$256:Q$297),0)</f>
        <v>0</v>
      </c>
    </row>
    <row r="174" spans="2:28">
      <c r="B174" s="20" t="s">
        <v>10</v>
      </c>
      <c r="C174" s="20" t="s">
        <v>428</v>
      </c>
      <c r="D174" s="20" t="s">
        <v>440</v>
      </c>
      <c r="E174" s="55">
        <f t="shared" ca="1" si="0"/>
        <v>4.9392760186285009E-3</v>
      </c>
      <c r="F174" s="55">
        <f t="shared" ca="1" si="1"/>
        <v>0</v>
      </c>
      <c r="G174" s="21">
        <f ca="1">IFERROR(SUMIF('nres bld data'!$A$3:$A$38,B174&amp;C174,'nres bld data'!$D$3:$D$38),0)</f>
        <v>5246076</v>
      </c>
      <c r="H174" s="21">
        <f t="shared" ref="H174:I174" ca="1" si="178">$T174*U174</f>
        <v>224415.38209190898</v>
      </c>
      <c r="I174" s="21">
        <f t="shared" ca="1" si="178"/>
        <v>248968.53185893549</v>
      </c>
      <c r="J174" s="21"/>
      <c r="K174" s="21"/>
      <c r="S174" s="115"/>
      <c r="T174" s="22">
        <f ca="1">G174/SUMIF('nres bld data'!$B$3:$B$38,$B174,'nres bld data'!$D$3:$D$38)</f>
        <v>2.5651645780567344E-2</v>
      </c>
      <c r="U174" s="21">
        <f>SUMIFS('Projections by County'!$D$10:$D$36,'Projections by County'!$A$10:$A$36,$B174,'Projections by County'!$C$10:$C$36,"Electricity (kWh)",'Projections by County'!$B$10:$B$36,"Commercial")*BTU_per_kWh/1000000</f>
        <v>8748576.3686132394</v>
      </c>
      <c r="V174" s="21">
        <f>SUMIFS('Projections by County'!$D$10:$D$36,'Projections by County'!$A$10:$A$36,$B174,'Projections by County'!$C$10:$C$36,"Natural Gas",'Projections by County'!$B$10:$B$36,"Commercial")</f>
        <v>9705752.7609999999</v>
      </c>
      <c r="W174" s="116"/>
      <c r="X174" s="116">
        <f>IFERROR(SUMIF('nres bld data'!$V$3:$V$254,"="&amp;$B174&amp;$C174&amp;$D174,'nres bld data'!P$3:P$254)/SUMIF('nres bld data'!$V$3:$V$254,"="&amp;$B174&amp;$C174&amp;$D174,'nres bld data'!$T$3:$T$254),0)</f>
        <v>1</v>
      </c>
      <c r="Y174" s="116">
        <f>IFERROR(SUMIF('nres bld data'!$V$3:$V$254,"="&amp;$B174&amp;$C174&amp;$D174,'nres bld data'!Q$3:Q$254)/SUMIF('nres bld data'!$V$3:$V$254,"="&amp;$B174&amp;$C174&amp;$D174,'nres bld data'!$T$3:$T$254),0)</f>
        <v>0</v>
      </c>
      <c r="AA174" s="116">
        <f ca="1">IFERROR(SUMIF('nres bld data'!$V$3:$V$254,"="&amp;$B174&amp;$C174&amp;$D174,'nres bld data'!P$3:P$254)/SUMIF('nres bld data'!$W$256:$W$297,"="&amp;$B174&amp;$C174,'nres bld data'!P$256:P$297),0)</f>
        <v>0.11546364218514392</v>
      </c>
      <c r="AB174" s="116">
        <f ca="1">IFERROR(SUMIF('nres bld data'!$V$3:$V$254,"="&amp;$B174&amp;$C174&amp;$D174,'nres bld data'!Q$3:Q$254)/SUMIF('nres bld data'!$W$256:$W$297,"="&amp;$B174&amp;$C174,'nres bld data'!Q$256:Q$297),0)</f>
        <v>0</v>
      </c>
    </row>
    <row r="175" spans="2:28">
      <c r="B175" s="20" t="s">
        <v>10</v>
      </c>
      <c r="C175" s="20" t="s">
        <v>428</v>
      </c>
      <c r="D175" s="20" t="s">
        <v>443</v>
      </c>
      <c r="E175" s="55">
        <f t="shared" ca="1" si="0"/>
        <v>1.4237118154985212E-3</v>
      </c>
      <c r="F175" s="55">
        <f t="shared" ca="1" si="1"/>
        <v>1.3248220377520934E-2</v>
      </c>
      <c r="G175" s="21">
        <f ca="1">IFERROR(SUMIF('nres bld data'!$A$3:$A$38,B175&amp;C175,'nres bld data'!$D$3:$D$38),0)</f>
        <v>5246076</v>
      </c>
      <c r="H175" s="21">
        <f t="shared" ref="H175:I175" ca="1" si="179">$T175*U175</f>
        <v>224415.38209190898</v>
      </c>
      <c r="I175" s="21">
        <f t="shared" ca="1" si="179"/>
        <v>248968.53185893549</v>
      </c>
      <c r="J175" s="21"/>
      <c r="K175" s="21"/>
      <c r="S175" s="115"/>
      <c r="T175" s="22">
        <f ca="1">G175/SUMIF('nres bld data'!$B$3:$B$38,$B175,'nres bld data'!$D$3:$D$38)</f>
        <v>2.5651645780567344E-2</v>
      </c>
      <c r="U175" s="21">
        <f>SUMIFS('Projections by County'!$D$10:$D$36,'Projections by County'!$A$10:$A$36,$B175,'Projections by County'!$C$10:$C$36,"Electricity (kWh)",'Projections by County'!$B$10:$B$36,"Commercial")*BTU_per_kWh/1000000</f>
        <v>8748576.3686132394</v>
      </c>
      <c r="V175" s="21">
        <f>SUMIFS('Projections by County'!$D$10:$D$36,'Projections by County'!$A$10:$A$36,$B175,'Projections by County'!$C$10:$C$36,"Natural Gas",'Projections by County'!$B$10:$B$36,"Commercial")</f>
        <v>9705752.7609999999</v>
      </c>
      <c r="W175" s="116"/>
      <c r="X175" s="116">
        <f>IFERROR(SUMIF('nres bld data'!$V$3:$V$254,"="&amp;$B175&amp;$C175&amp;$D175,'nres bld data'!P$3:P$254)/SUMIF('nres bld data'!$V$3:$V$254,"="&amp;$B175&amp;$C175&amp;$D175,'nres bld data'!$T$3:$T$254),0)</f>
        <v>6.4007873628678963E-2</v>
      </c>
      <c r="Y175" s="116">
        <f>IFERROR(SUMIF('nres bld data'!$V$3:$V$254,"="&amp;$B175&amp;$C175&amp;$D175,'nres bld data'!Q$3:Q$254)/SUMIF('nres bld data'!$V$3:$V$254,"="&amp;$B175&amp;$C175&amp;$D175,'nres bld data'!$T$3:$T$254),0)</f>
        <v>0.93599212637132112</v>
      </c>
      <c r="AA175" s="116">
        <f ca="1">IFERROR(SUMIF('nres bld data'!$V$3:$V$254,"="&amp;$B175&amp;$C175&amp;$D175,'nres bld data'!P$3:P$254)/SUMIF('nres bld data'!$W$256:$W$297,"="&amp;$B175&amp;$C175,'nres bld data'!P$256:P$297),0)</f>
        <v>3.3281588439175454E-2</v>
      </c>
      <c r="AB175" s="116">
        <f ca="1">IFERROR(SUMIF('nres bld data'!$V$3:$V$254,"="&amp;$B175&amp;$C175&amp;$D175,'nres bld data'!Q$3:Q$254)/SUMIF('nres bld data'!$W$256:$W$297,"="&amp;$B175&amp;$C175,'nres bld data'!Q$256:Q$297),0)</f>
        <v>0.2791564477899664</v>
      </c>
    </row>
    <row r="176" spans="2:28">
      <c r="B176" s="20" t="s">
        <v>10</v>
      </c>
      <c r="C176" s="20" t="s">
        <v>428</v>
      </c>
      <c r="D176" s="20" t="s">
        <v>445</v>
      </c>
      <c r="E176" s="55">
        <f t="shared" ca="1" si="0"/>
        <v>5.5222863265855585E-3</v>
      </c>
      <c r="F176" s="55">
        <f t="shared" ca="1" si="1"/>
        <v>1.1433037675128153E-2</v>
      </c>
      <c r="G176" s="21">
        <f ca="1">IFERROR(SUMIF('nres bld data'!$A$3:$A$38,B176&amp;C176,'nres bld data'!$D$3:$D$38),0)</f>
        <v>5246076</v>
      </c>
      <c r="H176" s="21">
        <f t="shared" ref="H176:I176" ca="1" si="180">$T176*U176</f>
        <v>224415.38209190898</v>
      </c>
      <c r="I176" s="21">
        <f t="shared" ca="1" si="180"/>
        <v>248968.53185893549</v>
      </c>
      <c r="J176" s="21"/>
      <c r="K176" s="21"/>
      <c r="S176" s="115"/>
      <c r="T176" s="22">
        <f ca="1">G176/SUMIF('nres bld data'!$B$3:$B$38,$B176,'nres bld data'!$D$3:$D$38)</f>
        <v>2.5651645780567344E-2</v>
      </c>
      <c r="U176" s="21">
        <f>SUMIFS('Projections by County'!$D$10:$D$36,'Projections by County'!$A$10:$A$36,$B176,'Projections by County'!$C$10:$C$36,"Electricity (kWh)",'Projections by County'!$B$10:$B$36,"Commercial")*BTU_per_kWh/1000000</f>
        <v>8748576.3686132394</v>
      </c>
      <c r="V176" s="21">
        <f>SUMIFS('Projections by County'!$D$10:$D$36,'Projections by County'!$A$10:$A$36,$B176,'Projections by County'!$C$10:$C$36,"Natural Gas",'Projections by County'!$B$10:$B$36,"Commercial")</f>
        <v>9705752.7609999999</v>
      </c>
      <c r="W176" s="116"/>
      <c r="X176" s="116">
        <f>IFERROR(SUMIF('nres bld data'!$V$3:$V$254,"="&amp;$B176&amp;$C176&amp;$D176,'nres bld data'!P$3:P$254)/SUMIF('nres bld data'!$V$3:$V$254,"="&amp;$B176&amp;$C176&amp;$D176,'nres bld data'!$T$3:$T$254),0)</f>
        <v>0.21896255624420677</v>
      </c>
      <c r="Y176" s="116">
        <f>IFERROR(SUMIF('nres bld data'!$V$3:$V$254,"="&amp;$B176&amp;$C176&amp;$D176,'nres bld data'!Q$3:Q$254)/SUMIF('nres bld data'!$V$3:$V$254,"="&amp;$B176&amp;$C176&amp;$D176,'nres bld data'!$T$3:$T$254),0)</f>
        <v>0.71238687494968411</v>
      </c>
      <c r="AA176" s="116">
        <f ca="1">IFERROR(SUMIF('nres bld data'!$V$3:$V$254,"="&amp;$B176&amp;$C176&amp;$D176,'nres bld data'!P$3:P$254)/SUMIF('nres bld data'!$W$256:$W$297,"="&amp;$B176&amp;$C176,'nres bld data'!P$256:P$297),0)</f>
        <v>0.1290924601200639</v>
      </c>
      <c r="AB176" s="116">
        <f ca="1">IFERROR(SUMIF('nres bld data'!$V$3:$V$254,"="&amp;$B176&amp;$C176&amp;$D176,'nres bld data'!Q$3:Q$254)/SUMIF('nres bld data'!$W$256:$W$297,"="&amp;$B176&amp;$C176,'nres bld data'!Q$256:Q$297),0)</f>
        <v>0.24090829514377829</v>
      </c>
    </row>
    <row r="177" spans="2:28">
      <c r="B177" s="20" t="s">
        <v>10</v>
      </c>
      <c r="C177" s="20" t="s">
        <v>449</v>
      </c>
      <c r="D177" s="20" t="s">
        <v>429</v>
      </c>
      <c r="E177" s="55">
        <f t="shared" ca="1" si="0"/>
        <v>0</v>
      </c>
      <c r="F177" s="55">
        <f t="shared" ca="1" si="1"/>
        <v>0</v>
      </c>
      <c r="G177" s="21">
        <f>IFERROR(SUMIF('nres bld data'!$A$3:$A$38,B177&amp;C177,'nres bld data'!$D$3:$D$38),0)</f>
        <v>0</v>
      </c>
      <c r="H177" s="21">
        <f t="shared" ref="H177:I177" ca="1" si="181">$T177*U177</f>
        <v>0</v>
      </c>
      <c r="I177" s="21">
        <f t="shared" ca="1" si="181"/>
        <v>0</v>
      </c>
      <c r="J177" s="21"/>
      <c r="K177" s="21"/>
      <c r="S177" s="115"/>
      <c r="T177" s="22">
        <f ca="1">G177/SUMIF('nres bld data'!$B$3:$B$38,$B177,'nres bld data'!$D$3:$D$38)</f>
        <v>0</v>
      </c>
      <c r="U177" s="21">
        <f>SUMIFS('Projections by County'!$D$10:$D$36,'Projections by County'!$A$10:$A$36,$B177,'Projections by County'!$C$10:$C$36,"Electricity (kWh)",'Projections by County'!$B$10:$B$36,"Commercial")*BTU_per_kWh/1000000</f>
        <v>8748576.3686132394</v>
      </c>
      <c r="V177" s="21">
        <f>SUMIFS('Projections by County'!$D$10:$D$36,'Projections by County'!$A$10:$A$36,$B177,'Projections by County'!$C$10:$C$36,"Natural Gas",'Projections by County'!$B$10:$B$36,"Commercial")</f>
        <v>9705752.7609999999</v>
      </c>
      <c r="W177" s="116"/>
      <c r="X177" s="116">
        <f>IFERROR(SUMIF('nres bld data'!$V$3:$V$254,"="&amp;$B177&amp;$C177&amp;$D177,'nres bld data'!P$3:P$254)/SUMIF('nres bld data'!$V$3:$V$254,"="&amp;$B177&amp;$C177&amp;$D177,'nres bld data'!$T$3:$T$254),0)</f>
        <v>0.89198889851207197</v>
      </c>
      <c r="Y177" s="116">
        <f>IFERROR(SUMIF('nres bld data'!$V$3:$V$254,"="&amp;$B177&amp;$C177&amp;$D177,'nres bld data'!Q$3:Q$254)/SUMIF('nres bld data'!$V$3:$V$254,"="&amp;$B177&amp;$C177&amp;$D177,'nres bld data'!$T$3:$T$254),0)</f>
        <v>0.10801110148792799</v>
      </c>
      <c r="AA177" s="116">
        <f ca="1">IFERROR(SUMIF('nres bld data'!$V$3:$V$254,"="&amp;$B177&amp;$C177&amp;$D177,'nres bld data'!P$3:P$254)/SUMIF('nres bld data'!$W$256:$W$297,"="&amp;$B177&amp;$C177,'nres bld data'!P$256:P$297),0)</f>
        <v>0.36239123261167505</v>
      </c>
      <c r="AB177" s="116">
        <f ca="1">IFERROR(SUMIF('nres bld data'!$V$3:$V$254,"="&amp;$B177&amp;$C177&amp;$D177,'nres bld data'!Q$3:Q$254)/SUMIF('nres bld data'!$W$256:$W$297,"="&amp;$B177&amp;$C177,'nres bld data'!Q$256:Q$297),0)</f>
        <v>0.11772955985925886</v>
      </c>
    </row>
    <row r="178" spans="2:28">
      <c r="B178" s="20" t="s">
        <v>10</v>
      </c>
      <c r="C178" s="20" t="s">
        <v>449</v>
      </c>
      <c r="D178" s="20" t="s">
        <v>433</v>
      </c>
      <c r="E178" s="55">
        <f t="shared" ca="1" si="0"/>
        <v>0</v>
      </c>
      <c r="F178" s="55">
        <f t="shared" ca="1" si="1"/>
        <v>0</v>
      </c>
      <c r="G178" s="21">
        <f>IFERROR(SUMIF('nres bld data'!$A$3:$A$38,B178&amp;C178,'nres bld data'!$D$3:$D$38),0)</f>
        <v>0</v>
      </c>
      <c r="H178" s="21">
        <f t="shared" ref="H178:I178" ca="1" si="182">$T178*U178</f>
        <v>0</v>
      </c>
      <c r="I178" s="21">
        <f t="shared" ca="1" si="182"/>
        <v>0</v>
      </c>
      <c r="J178" s="21"/>
      <c r="K178" s="21"/>
      <c r="S178" s="115"/>
      <c r="T178" s="22">
        <f ca="1">G178/SUMIF('nres bld data'!$B$3:$B$38,$B178,'nres bld data'!$D$3:$D$38)</f>
        <v>0</v>
      </c>
      <c r="U178" s="21">
        <f>SUMIFS('Projections by County'!$D$10:$D$36,'Projections by County'!$A$10:$A$36,$B178,'Projections by County'!$C$10:$C$36,"Electricity (kWh)",'Projections by County'!$B$10:$B$36,"Commercial")*BTU_per_kWh/1000000</f>
        <v>8748576.3686132394</v>
      </c>
      <c r="V178" s="21">
        <f>SUMIFS('Projections by County'!$D$10:$D$36,'Projections by County'!$A$10:$A$36,$B178,'Projections by County'!$C$10:$C$36,"Natural Gas",'Projections by County'!$B$10:$B$36,"Commercial")</f>
        <v>9705752.7609999999</v>
      </c>
      <c r="W178" s="116"/>
      <c r="X178" s="116">
        <f>IFERROR(SUMIF('nres bld data'!$V$3:$V$254,"="&amp;$B178&amp;$C178&amp;$D178,'nres bld data'!P$3:P$254)/SUMIF('nres bld data'!$V$3:$V$254,"="&amp;$B178&amp;$C178&amp;$D178,'nres bld data'!$T$3:$T$254),0)</f>
        <v>1</v>
      </c>
      <c r="Y178" s="116">
        <f>IFERROR(SUMIF('nres bld data'!$V$3:$V$254,"="&amp;$B178&amp;$C178&amp;$D178,'nres bld data'!Q$3:Q$254)/SUMIF('nres bld data'!$V$3:$V$254,"="&amp;$B178&amp;$C178&amp;$D178,'nres bld data'!$T$3:$T$254),0)</f>
        <v>0</v>
      </c>
      <c r="AA178" s="116">
        <f ca="1">IFERROR(SUMIF('nres bld data'!$V$3:$V$254,"="&amp;$B178&amp;$C178&amp;$D178,'nres bld data'!P$3:P$254)/SUMIF('nres bld data'!$W$256:$W$297,"="&amp;$B178&amp;$C178,'nres bld data'!P$256:P$297),0)</f>
        <v>0.28266981430898497</v>
      </c>
      <c r="AB178" s="116">
        <f ca="1">IFERROR(SUMIF('nres bld data'!$V$3:$V$254,"="&amp;$B178&amp;$C178&amp;$D178,'nres bld data'!Q$3:Q$254)/SUMIF('nres bld data'!$W$256:$W$297,"="&amp;$B178&amp;$C178,'nres bld data'!Q$256:Q$297),0)</f>
        <v>0</v>
      </c>
    </row>
    <row r="179" spans="2:28">
      <c r="B179" s="20" t="s">
        <v>10</v>
      </c>
      <c r="C179" s="20" t="s">
        <v>449</v>
      </c>
      <c r="D179" s="20" t="s">
        <v>437</v>
      </c>
      <c r="E179" s="55">
        <f t="shared" ca="1" si="0"/>
        <v>0</v>
      </c>
      <c r="F179" s="55">
        <f t="shared" ca="1" si="1"/>
        <v>0</v>
      </c>
      <c r="G179" s="21">
        <f>IFERROR(SUMIF('nres bld data'!$A$3:$A$38,B179&amp;C179,'nres bld data'!$D$3:$D$38),0)</f>
        <v>0</v>
      </c>
      <c r="H179" s="21">
        <f t="shared" ref="H179:I179" ca="1" si="183">$T179*U179</f>
        <v>0</v>
      </c>
      <c r="I179" s="21">
        <f t="shared" ca="1" si="183"/>
        <v>0</v>
      </c>
      <c r="J179" s="21"/>
      <c r="K179" s="21"/>
      <c r="S179" s="115"/>
      <c r="T179" s="22">
        <f ca="1">G179/SUMIF('nres bld data'!$B$3:$B$38,$B179,'nres bld data'!$D$3:$D$38)</f>
        <v>0</v>
      </c>
      <c r="U179" s="21">
        <f>SUMIFS('Projections by County'!$D$10:$D$36,'Projections by County'!$A$10:$A$36,$B179,'Projections by County'!$C$10:$C$36,"Electricity (kWh)",'Projections by County'!$B$10:$B$36,"Commercial")*BTU_per_kWh/1000000</f>
        <v>8748576.3686132394</v>
      </c>
      <c r="V179" s="21">
        <f>SUMIFS('Projections by County'!$D$10:$D$36,'Projections by County'!$A$10:$A$36,$B179,'Projections by County'!$C$10:$C$36,"Natural Gas",'Projections by County'!$B$10:$B$36,"Commercial")</f>
        <v>9705752.7609999999</v>
      </c>
      <c r="W179" s="116"/>
      <c r="X179" s="116">
        <f>IFERROR(SUMIF('nres bld data'!$V$3:$V$254,"="&amp;$B179&amp;$C179&amp;$D179,'nres bld data'!P$3:P$254)/SUMIF('nres bld data'!$V$3:$V$254,"="&amp;$B179&amp;$C179&amp;$D179,'nres bld data'!$T$3:$T$254),0)</f>
        <v>1</v>
      </c>
      <c r="Y179" s="116">
        <f>IFERROR(SUMIF('nres bld data'!$V$3:$V$254,"="&amp;$B179&amp;$C179&amp;$D179,'nres bld data'!Q$3:Q$254)/SUMIF('nres bld data'!$V$3:$V$254,"="&amp;$B179&amp;$C179&amp;$D179,'nres bld data'!$T$3:$T$254),0)</f>
        <v>0</v>
      </c>
      <c r="AA179" s="116">
        <f ca="1">IFERROR(SUMIF('nres bld data'!$V$3:$V$254,"="&amp;$B179&amp;$C179&amp;$D179,'nres bld data'!P$3:P$254)/SUMIF('nres bld data'!$W$256:$W$297,"="&amp;$B179&amp;$C179,'nres bld data'!P$256:P$297),0)</f>
        <v>0.1653902970243816</v>
      </c>
      <c r="AB179" s="116">
        <f ca="1">IFERROR(SUMIF('nres bld data'!$V$3:$V$254,"="&amp;$B179&amp;$C179&amp;$D179,'nres bld data'!Q$3:Q$254)/SUMIF('nres bld data'!$W$256:$W$297,"="&amp;$B179&amp;$C179,'nres bld data'!Q$256:Q$297),0)</f>
        <v>0</v>
      </c>
    </row>
    <row r="180" spans="2:28">
      <c r="B180" s="20" t="s">
        <v>10</v>
      </c>
      <c r="C180" s="20" t="s">
        <v>449</v>
      </c>
      <c r="D180" s="20" t="s">
        <v>440</v>
      </c>
      <c r="E180" s="55">
        <f t="shared" ca="1" si="0"/>
        <v>0</v>
      </c>
      <c r="F180" s="55">
        <f t="shared" ca="1" si="1"/>
        <v>0</v>
      </c>
      <c r="G180" s="21">
        <f>IFERROR(SUMIF('nres bld data'!$A$3:$A$38,B180&amp;C180,'nres bld data'!$D$3:$D$38),0)</f>
        <v>0</v>
      </c>
      <c r="H180" s="21">
        <f t="shared" ref="H180:I180" ca="1" si="184">$T180*U180</f>
        <v>0</v>
      </c>
      <c r="I180" s="21">
        <f t="shared" ca="1" si="184"/>
        <v>0</v>
      </c>
      <c r="J180" s="21"/>
      <c r="K180" s="21"/>
      <c r="S180" s="115"/>
      <c r="T180" s="22">
        <f ca="1">G180/SUMIF('nres bld data'!$B$3:$B$38,$B180,'nres bld data'!$D$3:$D$38)</f>
        <v>0</v>
      </c>
      <c r="U180" s="21">
        <f>SUMIFS('Projections by County'!$D$10:$D$36,'Projections by County'!$A$10:$A$36,$B180,'Projections by County'!$C$10:$C$36,"Electricity (kWh)",'Projections by County'!$B$10:$B$36,"Commercial")*BTU_per_kWh/1000000</f>
        <v>8748576.3686132394</v>
      </c>
      <c r="V180" s="21">
        <f>SUMIFS('Projections by County'!$D$10:$D$36,'Projections by County'!$A$10:$A$36,$B180,'Projections by County'!$C$10:$C$36,"Natural Gas",'Projections by County'!$B$10:$B$36,"Commercial")</f>
        <v>9705752.7609999999</v>
      </c>
      <c r="W180" s="116"/>
      <c r="X180" s="116">
        <f>IFERROR(SUMIF('nres bld data'!$V$3:$V$254,"="&amp;$B180&amp;$C180&amp;$D180,'nres bld data'!P$3:P$254)/SUMIF('nres bld data'!$V$3:$V$254,"="&amp;$B180&amp;$C180&amp;$D180,'nres bld data'!$T$3:$T$254),0)</f>
        <v>1</v>
      </c>
      <c r="Y180" s="116">
        <f>IFERROR(SUMIF('nres bld data'!$V$3:$V$254,"="&amp;$B180&amp;$C180&amp;$D180,'nres bld data'!Q$3:Q$254)/SUMIF('nres bld data'!$V$3:$V$254,"="&amp;$B180&amp;$C180&amp;$D180,'nres bld data'!$T$3:$T$254),0)</f>
        <v>0</v>
      </c>
      <c r="AA180" s="116">
        <f ca="1">IFERROR(SUMIF('nres bld data'!$V$3:$V$254,"="&amp;$B180&amp;$C180&amp;$D180,'nres bld data'!P$3:P$254)/SUMIF('nres bld data'!$W$256:$W$297,"="&amp;$B180&amp;$C180,'nres bld data'!P$256:P$297),0)</f>
        <v>0.14474609781237982</v>
      </c>
      <c r="AB180" s="116">
        <f ca="1">IFERROR(SUMIF('nres bld data'!$V$3:$V$254,"="&amp;$B180&amp;$C180&amp;$D180,'nres bld data'!Q$3:Q$254)/SUMIF('nres bld data'!$W$256:$W$297,"="&amp;$B180&amp;$C180,'nres bld data'!Q$256:Q$297),0)</f>
        <v>0</v>
      </c>
    </row>
    <row r="181" spans="2:28">
      <c r="B181" s="20" t="s">
        <v>10</v>
      </c>
      <c r="C181" s="20" t="s">
        <v>449</v>
      </c>
      <c r="D181" s="20" t="s">
        <v>443</v>
      </c>
      <c r="E181" s="55">
        <f t="shared" ca="1" si="0"/>
        <v>0</v>
      </c>
      <c r="F181" s="55">
        <f t="shared" ca="1" si="1"/>
        <v>0</v>
      </c>
      <c r="G181" s="21">
        <f>IFERROR(SUMIF('nres bld data'!$A$3:$A$38,B181&amp;C181,'nres bld data'!$D$3:$D$38),0)</f>
        <v>0</v>
      </c>
      <c r="H181" s="21">
        <f t="shared" ref="H181:I181" ca="1" si="185">$T181*U181</f>
        <v>0</v>
      </c>
      <c r="I181" s="21">
        <f t="shared" ca="1" si="185"/>
        <v>0</v>
      </c>
      <c r="J181" s="21"/>
      <c r="K181" s="21"/>
      <c r="S181" s="115"/>
      <c r="T181" s="22">
        <f ca="1">G181/SUMIF('nres bld data'!$B$3:$B$38,$B181,'nres bld data'!$D$3:$D$38)</f>
        <v>0</v>
      </c>
      <c r="U181" s="21">
        <f>SUMIFS('Projections by County'!$D$10:$D$36,'Projections by County'!$A$10:$A$36,$B181,'Projections by County'!$C$10:$C$36,"Electricity (kWh)",'Projections by County'!$B$10:$B$36,"Commercial")*BTU_per_kWh/1000000</f>
        <v>8748576.3686132394</v>
      </c>
      <c r="V181" s="21">
        <f>SUMIFS('Projections by County'!$D$10:$D$36,'Projections by County'!$A$10:$A$36,$B181,'Projections by County'!$C$10:$C$36,"Natural Gas",'Projections by County'!$B$10:$B$36,"Commercial")</f>
        <v>9705752.7609999999</v>
      </c>
      <c r="W181" s="116"/>
      <c r="X181" s="116">
        <f>IFERROR(SUMIF('nres bld data'!$V$3:$V$254,"="&amp;$B181&amp;$C181&amp;$D181,'nres bld data'!P$3:P$254)/SUMIF('nres bld data'!$V$3:$V$254,"="&amp;$B181&amp;$C181&amp;$D181,'nres bld data'!$T$3:$T$254),0)</f>
        <v>4.7668208396087573E-3</v>
      </c>
      <c r="Y181" s="116">
        <f>IFERROR(SUMIF('nres bld data'!$V$3:$V$254,"="&amp;$B181&amp;$C181&amp;$D181,'nres bld data'!Q$3:Q$254)/SUMIF('nres bld data'!$V$3:$V$254,"="&amp;$B181&amp;$C181&amp;$D181,'nres bld data'!$T$3:$T$254),0)</f>
        <v>0.99523317916039122</v>
      </c>
      <c r="AA181" s="116">
        <f ca="1">IFERROR(SUMIF('nres bld data'!$V$3:$V$254,"="&amp;$B181&amp;$C181&amp;$D181,'nres bld data'!P$3:P$254)/SUMIF('nres bld data'!$W$256:$W$297,"="&amp;$B181&amp;$C181,'nres bld data'!P$256:P$297),0)</f>
        <v>1.2533966906751561E-3</v>
      </c>
      <c r="AB181" s="116">
        <f ca="1">IFERROR(SUMIF('nres bld data'!$V$3:$V$254,"="&amp;$B181&amp;$C181&amp;$D181,'nres bld data'!Q$3:Q$254)/SUMIF('nres bld data'!$W$256:$W$297,"="&amp;$B181&amp;$C181,'nres bld data'!Q$256:Q$297),0)</f>
        <v>0.70207491005062383</v>
      </c>
    </row>
    <row r="182" spans="2:28">
      <c r="B182" s="20" t="s">
        <v>10</v>
      </c>
      <c r="C182" s="20" t="s">
        <v>449</v>
      </c>
      <c r="D182" s="20" t="s">
        <v>445</v>
      </c>
      <c r="E182" s="55">
        <f t="shared" ca="1" si="0"/>
        <v>0</v>
      </c>
      <c r="F182" s="55">
        <f t="shared" ca="1" si="1"/>
        <v>0</v>
      </c>
      <c r="G182" s="21">
        <f>IFERROR(SUMIF('nres bld data'!$A$3:$A$38,B182&amp;C182,'nres bld data'!$D$3:$D$38),0)</f>
        <v>0</v>
      </c>
      <c r="H182" s="21">
        <f t="shared" ref="H182:I182" ca="1" si="186">$T182*U182</f>
        <v>0</v>
      </c>
      <c r="I182" s="21">
        <f t="shared" ca="1" si="186"/>
        <v>0</v>
      </c>
      <c r="J182" s="21"/>
      <c r="K182" s="21"/>
      <c r="S182" s="115"/>
      <c r="T182" s="22">
        <f ca="1">G182/SUMIF('nres bld data'!$B$3:$B$38,$B182,'nres bld data'!$D$3:$D$38)</f>
        <v>0</v>
      </c>
      <c r="U182" s="21">
        <f>SUMIFS('Projections by County'!$D$10:$D$36,'Projections by County'!$A$10:$A$36,$B182,'Projections by County'!$C$10:$C$36,"Electricity (kWh)",'Projections by County'!$B$10:$B$36,"Commercial")*BTU_per_kWh/1000000</f>
        <v>8748576.3686132394</v>
      </c>
      <c r="V182" s="21">
        <f>SUMIFS('Projections by County'!$D$10:$D$36,'Projections by County'!$A$10:$A$36,$B182,'Projections by County'!$C$10:$C$36,"Natural Gas",'Projections by County'!$B$10:$B$36,"Commercial")</f>
        <v>9705752.7609999999</v>
      </c>
      <c r="W182" s="116"/>
      <c r="X182" s="116">
        <f>IFERROR(SUMIF('nres bld data'!$V$3:$V$254,"="&amp;$B182&amp;$C182&amp;$D182,'nres bld data'!P$3:P$254)/SUMIF('nres bld data'!$V$3:$V$254,"="&amp;$B182&amp;$C182&amp;$D182,'nres bld data'!$T$3:$T$254),0)</f>
        <v>0.39334655172247152</v>
      </c>
      <c r="Y182" s="116">
        <f>IFERROR(SUMIF('nres bld data'!$V$3:$V$254,"="&amp;$B182&amp;$C182&amp;$D182,'nres bld data'!Q$3:Q$254)/SUMIF('nres bld data'!$V$3:$V$254,"="&amp;$B182&amp;$C182&amp;$D182,'nres bld data'!$T$3:$T$254),0)</f>
        <v>0.60665344827752843</v>
      </c>
      <c r="AA182" s="116">
        <f ca="1">IFERROR(SUMIF('nres bld data'!$V$3:$V$254,"="&amp;$B182&amp;$C182&amp;$D182,'nres bld data'!P$3:P$254)/SUMIF('nres bld data'!$W$256:$W$297,"="&amp;$B182&amp;$C182,'nres bld data'!P$256:P$297),0)</f>
        <v>4.3549161551903533E-2</v>
      </c>
      <c r="AB182" s="116">
        <f ca="1">IFERROR(SUMIF('nres bld data'!$V$3:$V$254,"="&amp;$B182&amp;$C182&amp;$D182,'nres bld data'!Q$3:Q$254)/SUMIF('nres bld data'!$W$256:$W$297,"="&amp;$B182&amp;$C182,'nres bld data'!Q$256:Q$297),0)</f>
        <v>0.1801955300901173</v>
      </c>
    </row>
    <row r="183" spans="2:28">
      <c r="B183" s="20" t="s">
        <v>10</v>
      </c>
      <c r="C183" s="20" t="s">
        <v>458</v>
      </c>
      <c r="D183" s="20" t="s">
        <v>429</v>
      </c>
      <c r="E183" s="55">
        <f t="shared" ca="1" si="0"/>
        <v>0</v>
      </c>
      <c r="F183" s="55">
        <f t="shared" ca="1" si="1"/>
        <v>0</v>
      </c>
      <c r="G183" s="21">
        <f>IFERROR(SUMIF('nres bld data'!$A$3:$A$38,B183&amp;C183,'nres bld data'!$D$3:$D$38),0)</f>
        <v>0</v>
      </c>
      <c r="H183" s="21">
        <f t="shared" ref="H183:I183" ca="1" si="187">$T183*U183</f>
        <v>0</v>
      </c>
      <c r="I183" s="21">
        <f t="shared" ca="1" si="187"/>
        <v>0</v>
      </c>
      <c r="J183" s="21"/>
      <c r="K183" s="21"/>
      <c r="S183" s="115"/>
      <c r="T183" s="22">
        <f ca="1">G183/SUMIF('nres bld data'!$B$3:$B$38,$B183,'nres bld data'!$D$3:$D$38)</f>
        <v>0</v>
      </c>
      <c r="U183" s="21">
        <f>SUMIFS('Projections by County'!$D$10:$D$36,'Projections by County'!$A$10:$A$36,$B183,'Projections by County'!$C$10:$C$36,"Electricity (kWh)",'Projections by County'!$B$10:$B$36,"Commercial")*BTU_per_kWh/1000000</f>
        <v>8748576.3686132394</v>
      </c>
      <c r="V183" s="21">
        <f>SUMIFS('Projections by County'!$D$10:$D$36,'Projections by County'!$A$10:$A$36,$B183,'Projections by County'!$C$10:$C$36,"Natural Gas",'Projections by County'!$B$10:$B$36,"Commercial")</f>
        <v>9705752.7609999999</v>
      </c>
      <c r="W183" s="116"/>
      <c r="X183" s="116">
        <f>IFERROR(SUMIF('nres bld data'!$V$3:$V$254,"="&amp;$B183&amp;$C183&amp;$D183,'nres bld data'!P$3:P$254)/SUMIF('nres bld data'!$V$3:$V$254,"="&amp;$B183&amp;$C183&amp;$D183,'nres bld data'!$T$3:$T$254),0)</f>
        <v>0.55191113223141763</v>
      </c>
      <c r="Y183" s="116">
        <f>IFERROR(SUMIF('nres bld data'!$V$3:$V$254,"="&amp;$B183&amp;$C183&amp;$D183,'nres bld data'!Q$3:Q$254)/SUMIF('nres bld data'!$V$3:$V$254,"="&amp;$B183&amp;$C183&amp;$D183,'nres bld data'!$T$3:$T$254),0)</f>
        <v>0.44808886776858231</v>
      </c>
      <c r="AA183" s="116">
        <f ca="1">IFERROR(SUMIF('nres bld data'!$V$3:$V$254,"="&amp;$B183&amp;$C183&amp;$D183,'nres bld data'!P$3:P$254)/SUMIF('nres bld data'!$W$256:$W$297,"="&amp;$B183&amp;$C183,'nres bld data'!P$256:P$297),0)</f>
        <v>0.32931085481041106</v>
      </c>
      <c r="AB183" s="116">
        <f ca="1">IFERROR(SUMIF('nres bld data'!$V$3:$V$254,"="&amp;$B183&amp;$C183&amp;$D183,'nres bld data'!Q$3:Q$254)/SUMIF('nres bld data'!$W$256:$W$297,"="&amp;$B183&amp;$C183,'nres bld data'!Q$256:Q$297),0)</f>
        <v>0.47285739661651943</v>
      </c>
    </row>
    <row r="184" spans="2:28">
      <c r="B184" s="20" t="s">
        <v>10</v>
      </c>
      <c r="C184" s="20" t="s">
        <v>458</v>
      </c>
      <c r="D184" s="20" t="s">
        <v>433</v>
      </c>
      <c r="E184" s="55">
        <f t="shared" ca="1" si="0"/>
        <v>0</v>
      </c>
      <c r="F184" s="55">
        <f t="shared" ca="1" si="1"/>
        <v>0</v>
      </c>
      <c r="G184" s="21">
        <f>IFERROR(SUMIF('nres bld data'!$A$3:$A$38,B184&amp;C184,'nres bld data'!$D$3:$D$38),0)</f>
        <v>0</v>
      </c>
      <c r="H184" s="21">
        <f t="shared" ref="H184:I184" ca="1" si="188">$T184*U184</f>
        <v>0</v>
      </c>
      <c r="I184" s="21">
        <f t="shared" ca="1" si="188"/>
        <v>0</v>
      </c>
      <c r="J184" s="21"/>
      <c r="K184" s="21"/>
      <c r="S184" s="115"/>
      <c r="T184" s="22">
        <f ca="1">G184/SUMIF('nres bld data'!$B$3:$B$38,$B184,'nres bld data'!$D$3:$D$38)</f>
        <v>0</v>
      </c>
      <c r="U184" s="21">
        <f>SUMIFS('Projections by County'!$D$10:$D$36,'Projections by County'!$A$10:$A$36,$B184,'Projections by County'!$C$10:$C$36,"Electricity (kWh)",'Projections by County'!$B$10:$B$36,"Commercial")*BTU_per_kWh/1000000</f>
        <v>8748576.3686132394</v>
      </c>
      <c r="V184" s="21">
        <f>SUMIFS('Projections by County'!$D$10:$D$36,'Projections by County'!$A$10:$A$36,$B184,'Projections by County'!$C$10:$C$36,"Natural Gas",'Projections by County'!$B$10:$B$36,"Commercial")</f>
        <v>9705752.7609999999</v>
      </c>
      <c r="W184" s="116"/>
      <c r="X184" s="116">
        <f>IFERROR(SUMIF('nres bld data'!$V$3:$V$254,"="&amp;$B184&amp;$C184&amp;$D184,'nres bld data'!P$3:P$254)/SUMIF('nres bld data'!$V$3:$V$254,"="&amp;$B184&amp;$C184&amp;$D184,'nres bld data'!$T$3:$T$254),0)</f>
        <v>1</v>
      </c>
      <c r="Y184" s="116">
        <f>IFERROR(SUMIF('nres bld data'!$V$3:$V$254,"="&amp;$B184&amp;$C184&amp;$D184,'nres bld data'!Q$3:Q$254)/SUMIF('nres bld data'!$V$3:$V$254,"="&amp;$B184&amp;$C184&amp;$D184,'nres bld data'!$T$3:$T$254),0)</f>
        <v>0</v>
      </c>
      <c r="AA184" s="116">
        <f ca="1">IFERROR(SUMIF('nres bld data'!$V$3:$V$254,"="&amp;$B184&amp;$C184&amp;$D184,'nres bld data'!P$3:P$254)/SUMIF('nres bld data'!$W$256:$W$297,"="&amp;$B184&amp;$C184,'nres bld data'!P$256:P$297),0)</f>
        <v>0.11703473794735504</v>
      </c>
      <c r="AB184" s="116">
        <f ca="1">IFERROR(SUMIF('nres bld data'!$V$3:$V$254,"="&amp;$B184&amp;$C184&amp;$D184,'nres bld data'!Q$3:Q$254)/SUMIF('nres bld data'!$W$256:$W$297,"="&amp;$B184&amp;$C184,'nres bld data'!Q$256:Q$297),0)</f>
        <v>0</v>
      </c>
    </row>
    <row r="185" spans="2:28">
      <c r="B185" s="20" t="s">
        <v>10</v>
      </c>
      <c r="C185" s="20" t="s">
        <v>458</v>
      </c>
      <c r="D185" s="20" t="s">
        <v>437</v>
      </c>
      <c r="E185" s="55">
        <f t="shared" ca="1" si="0"/>
        <v>0</v>
      </c>
      <c r="F185" s="55">
        <f t="shared" ca="1" si="1"/>
        <v>0</v>
      </c>
      <c r="G185" s="21">
        <f>IFERROR(SUMIF('nres bld data'!$A$3:$A$38,B185&amp;C185,'nres bld data'!$D$3:$D$38),0)</f>
        <v>0</v>
      </c>
      <c r="H185" s="21">
        <f t="shared" ref="H185:I185" ca="1" si="189">$T185*U185</f>
        <v>0</v>
      </c>
      <c r="I185" s="21">
        <f t="shared" ca="1" si="189"/>
        <v>0</v>
      </c>
      <c r="J185" s="21"/>
      <c r="K185" s="21"/>
      <c r="S185" s="115"/>
      <c r="T185" s="22">
        <f ca="1">G185/SUMIF('nres bld data'!$B$3:$B$38,$B185,'nres bld data'!$D$3:$D$38)</f>
        <v>0</v>
      </c>
      <c r="U185" s="21">
        <f>SUMIFS('Projections by County'!$D$10:$D$36,'Projections by County'!$A$10:$A$36,$B185,'Projections by County'!$C$10:$C$36,"Electricity (kWh)",'Projections by County'!$B$10:$B$36,"Commercial")*BTU_per_kWh/1000000</f>
        <v>8748576.3686132394</v>
      </c>
      <c r="V185" s="21">
        <f>SUMIFS('Projections by County'!$D$10:$D$36,'Projections by County'!$A$10:$A$36,$B185,'Projections by County'!$C$10:$C$36,"Natural Gas",'Projections by County'!$B$10:$B$36,"Commercial")</f>
        <v>9705752.7609999999</v>
      </c>
      <c r="W185" s="116"/>
      <c r="X185" s="116">
        <f>IFERROR(SUMIF('nres bld data'!$V$3:$V$254,"="&amp;$B185&amp;$C185&amp;$D185,'nres bld data'!P$3:P$254)/SUMIF('nres bld data'!$V$3:$V$254,"="&amp;$B185&amp;$C185&amp;$D185,'nres bld data'!$T$3:$T$254),0)</f>
        <v>1</v>
      </c>
      <c r="Y185" s="116">
        <f>IFERROR(SUMIF('nres bld data'!$V$3:$V$254,"="&amp;$B185&amp;$C185&amp;$D185,'nres bld data'!Q$3:Q$254)/SUMIF('nres bld data'!$V$3:$V$254,"="&amp;$B185&amp;$C185&amp;$D185,'nres bld data'!$T$3:$T$254),0)</f>
        <v>0</v>
      </c>
      <c r="AA185" s="116">
        <f ca="1">IFERROR(SUMIF('nres bld data'!$V$3:$V$254,"="&amp;$B185&amp;$C185&amp;$D185,'nres bld data'!P$3:P$254)/SUMIF('nres bld data'!$W$256:$W$297,"="&amp;$B185&amp;$C185,'nres bld data'!P$256:P$297),0)</f>
        <v>0.16502506995346952</v>
      </c>
      <c r="AB185" s="116">
        <f ca="1">IFERROR(SUMIF('nres bld data'!$V$3:$V$254,"="&amp;$B185&amp;$C185&amp;$D185,'nres bld data'!Q$3:Q$254)/SUMIF('nres bld data'!$W$256:$W$297,"="&amp;$B185&amp;$C185,'nres bld data'!Q$256:Q$297),0)</f>
        <v>0</v>
      </c>
    </row>
    <row r="186" spans="2:28">
      <c r="B186" s="20" t="s">
        <v>10</v>
      </c>
      <c r="C186" s="20" t="s">
        <v>458</v>
      </c>
      <c r="D186" s="20" t="s">
        <v>440</v>
      </c>
      <c r="E186" s="55">
        <f t="shared" ca="1" si="0"/>
        <v>0</v>
      </c>
      <c r="F186" s="55">
        <f t="shared" ca="1" si="1"/>
        <v>0</v>
      </c>
      <c r="G186" s="21">
        <f>IFERROR(SUMIF('nres bld data'!$A$3:$A$38,B186&amp;C186,'nres bld data'!$D$3:$D$38),0)</f>
        <v>0</v>
      </c>
      <c r="H186" s="21">
        <f t="shared" ref="H186:I186" ca="1" si="190">$T186*U186</f>
        <v>0</v>
      </c>
      <c r="I186" s="21">
        <f t="shared" ca="1" si="190"/>
        <v>0</v>
      </c>
      <c r="J186" s="21"/>
      <c r="K186" s="21"/>
      <c r="S186" s="115"/>
      <c r="T186" s="22">
        <f ca="1">G186/SUMIF('nres bld data'!$B$3:$B$38,$B186,'nres bld data'!$D$3:$D$38)</f>
        <v>0</v>
      </c>
      <c r="U186" s="21">
        <f>SUMIFS('Projections by County'!$D$10:$D$36,'Projections by County'!$A$10:$A$36,$B186,'Projections by County'!$C$10:$C$36,"Electricity (kWh)",'Projections by County'!$B$10:$B$36,"Commercial")*BTU_per_kWh/1000000</f>
        <v>8748576.3686132394</v>
      </c>
      <c r="V186" s="21">
        <f>SUMIFS('Projections by County'!$D$10:$D$36,'Projections by County'!$A$10:$A$36,$B186,'Projections by County'!$C$10:$C$36,"Natural Gas",'Projections by County'!$B$10:$B$36,"Commercial")</f>
        <v>9705752.7609999999</v>
      </c>
      <c r="W186" s="116"/>
      <c r="X186" s="116">
        <f>IFERROR(SUMIF('nres bld data'!$V$3:$V$254,"="&amp;$B186&amp;$C186&amp;$D186,'nres bld data'!P$3:P$254)/SUMIF('nres bld data'!$V$3:$V$254,"="&amp;$B186&amp;$C186&amp;$D186,'nres bld data'!$T$3:$T$254),0)</f>
        <v>1</v>
      </c>
      <c r="Y186" s="116">
        <f>IFERROR(SUMIF('nres bld data'!$V$3:$V$254,"="&amp;$B186&amp;$C186&amp;$D186,'nres bld data'!Q$3:Q$254)/SUMIF('nres bld data'!$V$3:$V$254,"="&amp;$B186&amp;$C186&amp;$D186,'nres bld data'!$T$3:$T$254),0)</f>
        <v>0</v>
      </c>
      <c r="AA186" s="116">
        <f ca="1">IFERROR(SUMIF('nres bld data'!$V$3:$V$254,"="&amp;$B186&amp;$C186&amp;$D186,'nres bld data'!P$3:P$254)/SUMIF('nres bld data'!$W$256:$W$297,"="&amp;$B186&amp;$C186,'nres bld data'!P$256:P$297),0)</f>
        <v>0.20945048264584348</v>
      </c>
      <c r="AB186" s="116">
        <f ca="1">IFERROR(SUMIF('nres bld data'!$V$3:$V$254,"="&amp;$B186&amp;$C186&amp;$D186,'nres bld data'!Q$3:Q$254)/SUMIF('nres bld data'!$W$256:$W$297,"="&amp;$B186&amp;$C186,'nres bld data'!Q$256:Q$297),0)</f>
        <v>0</v>
      </c>
    </row>
    <row r="187" spans="2:28">
      <c r="B187" s="20" t="s">
        <v>10</v>
      </c>
      <c r="C187" s="20" t="s">
        <v>458</v>
      </c>
      <c r="D187" s="20" t="s">
        <v>443</v>
      </c>
      <c r="E187" s="55">
        <f t="shared" ca="1" si="0"/>
        <v>0</v>
      </c>
      <c r="F187" s="55">
        <f t="shared" ca="1" si="1"/>
        <v>0</v>
      </c>
      <c r="G187" s="21">
        <f>IFERROR(SUMIF('nres bld data'!$A$3:$A$38,B187&amp;C187,'nres bld data'!$D$3:$D$38),0)</f>
        <v>0</v>
      </c>
      <c r="H187" s="21">
        <f t="shared" ref="H187:I187" ca="1" si="191">$T187*U187</f>
        <v>0</v>
      </c>
      <c r="I187" s="21">
        <f t="shared" ca="1" si="191"/>
        <v>0</v>
      </c>
      <c r="J187" s="21"/>
      <c r="K187" s="21"/>
      <c r="S187" s="115"/>
      <c r="T187" s="22">
        <f ca="1">G187/SUMIF('nres bld data'!$B$3:$B$38,$B187,'nres bld data'!$D$3:$D$38)</f>
        <v>0</v>
      </c>
      <c r="U187" s="21">
        <f>SUMIFS('Projections by County'!$D$10:$D$36,'Projections by County'!$A$10:$A$36,$B187,'Projections by County'!$C$10:$C$36,"Electricity (kWh)",'Projections by County'!$B$10:$B$36,"Commercial")*BTU_per_kWh/1000000</f>
        <v>8748576.3686132394</v>
      </c>
      <c r="V187" s="21">
        <f>SUMIFS('Projections by County'!$D$10:$D$36,'Projections by County'!$A$10:$A$36,$B187,'Projections by County'!$C$10:$C$36,"Natural Gas",'Projections by County'!$B$10:$B$36,"Commercial")</f>
        <v>9705752.7609999999</v>
      </c>
      <c r="W187" s="116"/>
      <c r="X187" s="116">
        <f>IFERROR(SUMIF('nres bld data'!$V$3:$V$254,"="&amp;$B187&amp;$C187&amp;$D187,'nres bld data'!P$3:P$254)/SUMIF('nres bld data'!$V$3:$V$254,"="&amp;$B187&amp;$C187&amp;$D187,'nres bld data'!$T$3:$T$254),0)</f>
        <v>0</v>
      </c>
      <c r="Y187" s="116">
        <f>IFERROR(SUMIF('nres bld data'!$V$3:$V$254,"="&amp;$B187&amp;$C187&amp;$D187,'nres bld data'!Q$3:Q$254)/SUMIF('nres bld data'!$V$3:$V$254,"="&amp;$B187&amp;$C187&amp;$D187,'nres bld data'!$T$3:$T$254),0)</f>
        <v>1</v>
      </c>
      <c r="AA187" s="116">
        <f ca="1">IFERROR(SUMIF('nres bld data'!$V$3:$V$254,"="&amp;$B187&amp;$C187&amp;$D187,'nres bld data'!P$3:P$254)/SUMIF('nres bld data'!$W$256:$W$297,"="&amp;$B187&amp;$C187,'nres bld data'!P$256:P$297),0)</f>
        <v>0</v>
      </c>
      <c r="AB187" s="116">
        <f ca="1">IFERROR(SUMIF('nres bld data'!$V$3:$V$254,"="&amp;$B187&amp;$C187&amp;$D187,'nres bld data'!Q$3:Q$254)/SUMIF('nres bld data'!$W$256:$W$297,"="&amp;$B187&amp;$C187,'nres bld data'!Q$256:Q$297),0)</f>
        <v>0.22972745822033858</v>
      </c>
    </row>
    <row r="188" spans="2:28">
      <c r="B188" s="20" t="s">
        <v>10</v>
      </c>
      <c r="C188" s="20" t="s">
        <v>458</v>
      </c>
      <c r="D188" s="20" t="s">
        <v>445</v>
      </c>
      <c r="E188" s="55">
        <f t="shared" ca="1" si="0"/>
        <v>0</v>
      </c>
      <c r="F188" s="55">
        <f t="shared" ca="1" si="1"/>
        <v>0</v>
      </c>
      <c r="G188" s="21">
        <f>IFERROR(SUMIF('nres bld data'!$A$3:$A$38,B188&amp;C188,'nres bld data'!$D$3:$D$38),0)</f>
        <v>0</v>
      </c>
      <c r="H188" s="21">
        <f t="shared" ref="H188:I188" ca="1" si="192">$T188*U188</f>
        <v>0</v>
      </c>
      <c r="I188" s="21">
        <f t="shared" ca="1" si="192"/>
        <v>0</v>
      </c>
      <c r="J188" s="21"/>
      <c r="K188" s="21"/>
      <c r="S188" s="115"/>
      <c r="T188" s="22">
        <f ca="1">G188/SUMIF('nres bld data'!$B$3:$B$38,$B188,'nres bld data'!$D$3:$D$38)</f>
        <v>0</v>
      </c>
      <c r="U188" s="21">
        <f>SUMIFS('Projections by County'!$D$10:$D$36,'Projections by County'!$A$10:$A$36,$B188,'Projections by County'!$C$10:$C$36,"Electricity (kWh)",'Projections by County'!$B$10:$B$36,"Commercial")*BTU_per_kWh/1000000</f>
        <v>8748576.3686132394</v>
      </c>
      <c r="V188" s="21">
        <f>SUMIFS('Projections by County'!$D$10:$D$36,'Projections by County'!$A$10:$A$36,$B188,'Projections by County'!$C$10:$C$36,"Natural Gas",'Projections by County'!$B$10:$B$36,"Commercial")</f>
        <v>9705752.7609999999</v>
      </c>
      <c r="W188" s="116"/>
      <c r="X188" s="116">
        <f>IFERROR(SUMIF('nres bld data'!$V$3:$V$254,"="&amp;$B188&amp;$C188&amp;$D188,'nres bld data'!P$3:P$254)/SUMIF('nres bld data'!$V$3:$V$254,"="&amp;$B188&amp;$C188&amp;$D188,'nres bld data'!$T$3:$T$254),0)</f>
        <v>0.51585535811133254</v>
      </c>
      <c r="Y188" s="116">
        <f>IFERROR(SUMIF('nres bld data'!$V$3:$V$254,"="&amp;$B188&amp;$C188&amp;$D188,'nres bld data'!Q$3:Q$254)/SUMIF('nres bld data'!$V$3:$V$254,"="&amp;$B188&amp;$C188&amp;$D188,'nres bld data'!$T$3:$T$254),0)</f>
        <v>0.48414464188866746</v>
      </c>
      <c r="AA188" s="116">
        <f ca="1">IFERROR(SUMIF('nres bld data'!$V$3:$V$254,"="&amp;$B188&amp;$C188&amp;$D188,'nres bld data'!P$3:P$254)/SUMIF('nres bld data'!$W$256:$W$297,"="&amp;$B188&amp;$C188,'nres bld data'!P$256:P$297),0)</f>
        <v>0.17917885464292091</v>
      </c>
      <c r="AB188" s="116">
        <f ca="1">IFERROR(SUMIF('nres bld data'!$V$3:$V$254,"="&amp;$B188&amp;$C188&amp;$D188,'nres bld data'!Q$3:Q$254)/SUMIF('nres bld data'!$W$256:$W$297,"="&amp;$B188&amp;$C188,'nres bld data'!Q$256:Q$297),0)</f>
        <v>0.29741514516314194</v>
      </c>
    </row>
    <row r="189" spans="2:28">
      <c r="B189" s="20" t="s">
        <v>10</v>
      </c>
      <c r="C189" s="20" t="s">
        <v>460</v>
      </c>
      <c r="D189" s="20" t="s">
        <v>429</v>
      </c>
      <c r="E189" s="55">
        <f t="shared" ca="1" si="0"/>
        <v>0</v>
      </c>
      <c r="F189" s="55">
        <f t="shared" ca="1" si="1"/>
        <v>0</v>
      </c>
      <c r="G189" s="21">
        <f>IFERROR(SUMIF('nres bld data'!$A$3:$A$38,B189&amp;C189,'nres bld data'!$D$3:$D$38),0)</f>
        <v>0</v>
      </c>
      <c r="H189" s="21">
        <f t="shared" ref="H189:I189" ca="1" si="193">$T189*U189</f>
        <v>0</v>
      </c>
      <c r="I189" s="21">
        <f t="shared" ca="1" si="193"/>
        <v>0</v>
      </c>
      <c r="J189" s="21"/>
      <c r="K189" s="21"/>
      <c r="S189" s="115"/>
      <c r="T189" s="22">
        <f ca="1">G189/SUMIF('nres bld data'!$B$3:$B$38,$B189,'nres bld data'!$D$3:$D$38)</f>
        <v>0</v>
      </c>
      <c r="U189" s="21">
        <f>SUMIFS('Projections by County'!$D$10:$D$36,'Projections by County'!$A$10:$A$36,$B189,'Projections by County'!$C$10:$C$36,"Electricity (kWh)",'Projections by County'!$B$10:$B$36,"Commercial")*BTU_per_kWh/1000000</f>
        <v>8748576.3686132394</v>
      </c>
      <c r="V189" s="21">
        <f>SUMIFS('Projections by County'!$D$10:$D$36,'Projections by County'!$A$10:$A$36,$B189,'Projections by County'!$C$10:$C$36,"Natural Gas",'Projections by County'!$B$10:$B$36,"Commercial")</f>
        <v>9705752.7609999999</v>
      </c>
      <c r="W189" s="116"/>
      <c r="X189" s="116">
        <f>IFERROR(SUMIF('nres bld data'!$V$3:$V$254,"="&amp;$B189&amp;$C189&amp;$D189,'nres bld data'!P$3:P$254)/SUMIF('nres bld data'!$V$3:$V$254,"="&amp;$B189&amp;$C189&amp;$D189,'nres bld data'!$T$3:$T$254),0)</f>
        <v>1</v>
      </c>
      <c r="Y189" s="116">
        <f>IFERROR(SUMIF('nres bld data'!$V$3:$V$254,"="&amp;$B189&amp;$C189&amp;$D189,'nres bld data'!Q$3:Q$254)/SUMIF('nres bld data'!$V$3:$V$254,"="&amp;$B189&amp;$C189&amp;$D189,'nres bld data'!$T$3:$T$254),0)</f>
        <v>0</v>
      </c>
      <c r="AA189" s="116">
        <f ca="1">IFERROR(SUMIF('nres bld data'!$V$3:$V$254,"="&amp;$B189&amp;$C189&amp;$D189,'nres bld data'!P$3:P$254)/SUMIF('nres bld data'!$W$256:$W$297,"="&amp;$B189&amp;$C189,'nres bld data'!P$256:P$297),0)</f>
        <v>0.36430576241951929</v>
      </c>
      <c r="AB189" s="116">
        <f ca="1">IFERROR(SUMIF('nres bld data'!$V$3:$V$254,"="&amp;$B189&amp;$C189&amp;$D189,'nres bld data'!Q$3:Q$254)/SUMIF('nres bld data'!$W$256:$W$297,"="&amp;$B189&amp;$C189,'nres bld data'!Q$256:Q$297),0)</f>
        <v>0</v>
      </c>
    </row>
    <row r="190" spans="2:28">
      <c r="B190" s="20" t="s">
        <v>10</v>
      </c>
      <c r="C190" s="20" t="s">
        <v>460</v>
      </c>
      <c r="D190" s="20" t="s">
        <v>433</v>
      </c>
      <c r="E190" s="55">
        <f t="shared" ca="1" si="0"/>
        <v>0</v>
      </c>
      <c r="F190" s="55">
        <f t="shared" ca="1" si="1"/>
        <v>0</v>
      </c>
      <c r="G190" s="21">
        <f>IFERROR(SUMIF('nres bld data'!$A$3:$A$38,B190&amp;C190,'nres bld data'!$D$3:$D$38),0)</f>
        <v>0</v>
      </c>
      <c r="H190" s="21">
        <f t="shared" ref="H190:I190" ca="1" si="194">$T190*U190</f>
        <v>0</v>
      </c>
      <c r="I190" s="21">
        <f t="shared" ca="1" si="194"/>
        <v>0</v>
      </c>
      <c r="J190" s="21"/>
      <c r="K190" s="21"/>
      <c r="S190" s="115"/>
      <c r="T190" s="22">
        <f ca="1">G190/SUMIF('nres bld data'!$B$3:$B$38,$B190,'nres bld data'!$D$3:$D$38)</f>
        <v>0</v>
      </c>
      <c r="U190" s="21">
        <f>SUMIFS('Projections by County'!$D$10:$D$36,'Projections by County'!$A$10:$A$36,$B190,'Projections by County'!$C$10:$C$36,"Electricity (kWh)",'Projections by County'!$B$10:$B$36,"Commercial")*BTU_per_kWh/1000000</f>
        <v>8748576.3686132394</v>
      </c>
      <c r="V190" s="21">
        <f>SUMIFS('Projections by County'!$D$10:$D$36,'Projections by County'!$A$10:$A$36,$B190,'Projections by County'!$C$10:$C$36,"Natural Gas",'Projections by County'!$B$10:$B$36,"Commercial")</f>
        <v>9705752.7609999999</v>
      </c>
      <c r="W190" s="116"/>
      <c r="X190" s="116">
        <f>IFERROR(SUMIF('nres bld data'!$V$3:$V$254,"="&amp;$B190&amp;$C190&amp;$D190,'nres bld data'!P$3:P$254)/SUMIF('nres bld data'!$V$3:$V$254,"="&amp;$B190&amp;$C190&amp;$D190,'nres bld data'!$T$3:$T$254),0)</f>
        <v>1</v>
      </c>
      <c r="Y190" s="116">
        <f>IFERROR(SUMIF('nres bld data'!$V$3:$V$254,"="&amp;$B190&amp;$C190&amp;$D190,'nres bld data'!Q$3:Q$254)/SUMIF('nres bld data'!$V$3:$V$254,"="&amp;$B190&amp;$C190&amp;$D190,'nres bld data'!$T$3:$T$254),0)</f>
        <v>0</v>
      </c>
      <c r="AA190" s="116">
        <f ca="1">IFERROR(SUMIF('nres bld data'!$V$3:$V$254,"="&amp;$B190&amp;$C190&amp;$D190,'nres bld data'!P$3:P$254)/SUMIF('nres bld data'!$W$256:$W$297,"="&amp;$B190&amp;$C190,'nres bld data'!P$256:P$297),0)</f>
        <v>0.24672051586345287</v>
      </c>
      <c r="AB190" s="116">
        <f ca="1">IFERROR(SUMIF('nres bld data'!$V$3:$V$254,"="&amp;$B190&amp;$C190&amp;$D190,'nres bld data'!Q$3:Q$254)/SUMIF('nres bld data'!$W$256:$W$297,"="&amp;$B190&amp;$C190,'nres bld data'!Q$256:Q$297),0)</f>
        <v>0</v>
      </c>
    </row>
    <row r="191" spans="2:28">
      <c r="B191" s="20" t="s">
        <v>10</v>
      </c>
      <c r="C191" s="20" t="s">
        <v>460</v>
      </c>
      <c r="D191" s="20" t="s">
        <v>437</v>
      </c>
      <c r="E191" s="55">
        <f t="shared" ca="1" si="0"/>
        <v>0</v>
      </c>
      <c r="F191" s="55">
        <f t="shared" ca="1" si="1"/>
        <v>0</v>
      </c>
      <c r="G191" s="21">
        <f>IFERROR(SUMIF('nres bld data'!$A$3:$A$38,B191&amp;C191,'nres bld data'!$D$3:$D$38),0)</f>
        <v>0</v>
      </c>
      <c r="H191" s="21">
        <f t="shared" ref="H191:I191" ca="1" si="195">$T191*U191</f>
        <v>0</v>
      </c>
      <c r="I191" s="21">
        <f t="shared" ca="1" si="195"/>
        <v>0</v>
      </c>
      <c r="J191" s="21"/>
      <c r="K191" s="21"/>
      <c r="S191" s="115"/>
      <c r="T191" s="22">
        <f ca="1">G191/SUMIF('nres bld data'!$B$3:$B$38,$B191,'nres bld data'!$D$3:$D$38)</f>
        <v>0</v>
      </c>
      <c r="U191" s="21">
        <f>SUMIFS('Projections by County'!$D$10:$D$36,'Projections by County'!$A$10:$A$36,$B191,'Projections by County'!$C$10:$C$36,"Electricity (kWh)",'Projections by County'!$B$10:$B$36,"Commercial")*BTU_per_kWh/1000000</f>
        <v>8748576.3686132394</v>
      </c>
      <c r="V191" s="21">
        <f>SUMIFS('Projections by County'!$D$10:$D$36,'Projections by County'!$A$10:$A$36,$B191,'Projections by County'!$C$10:$C$36,"Natural Gas",'Projections by County'!$B$10:$B$36,"Commercial")</f>
        <v>9705752.7609999999</v>
      </c>
      <c r="W191" s="116"/>
      <c r="X191" s="116">
        <f>IFERROR(SUMIF('nres bld data'!$V$3:$V$254,"="&amp;$B191&amp;$C191&amp;$D191,'nres bld data'!P$3:P$254)/SUMIF('nres bld data'!$V$3:$V$254,"="&amp;$B191&amp;$C191&amp;$D191,'nres bld data'!$T$3:$T$254),0)</f>
        <v>1</v>
      </c>
      <c r="Y191" s="116">
        <f>IFERROR(SUMIF('nres bld data'!$V$3:$V$254,"="&amp;$B191&amp;$C191&amp;$D191,'nres bld data'!Q$3:Q$254)/SUMIF('nres bld data'!$V$3:$V$254,"="&amp;$B191&amp;$C191&amp;$D191,'nres bld data'!$T$3:$T$254),0)</f>
        <v>0</v>
      </c>
      <c r="AA191" s="116">
        <f ca="1">IFERROR(SUMIF('nres bld data'!$V$3:$V$254,"="&amp;$B191&amp;$C191&amp;$D191,'nres bld data'!P$3:P$254)/SUMIF('nres bld data'!$W$256:$W$297,"="&amp;$B191&amp;$C191,'nres bld data'!P$256:P$297),0)</f>
        <v>0.16714374576674529</v>
      </c>
      <c r="AB191" s="116">
        <f ca="1">IFERROR(SUMIF('nres bld data'!$V$3:$V$254,"="&amp;$B191&amp;$C191&amp;$D191,'nres bld data'!Q$3:Q$254)/SUMIF('nres bld data'!$W$256:$W$297,"="&amp;$B191&amp;$C191,'nres bld data'!Q$256:Q$297),0)</f>
        <v>0</v>
      </c>
    </row>
    <row r="192" spans="2:28">
      <c r="B192" s="20" t="s">
        <v>10</v>
      </c>
      <c r="C192" s="20" t="s">
        <v>460</v>
      </c>
      <c r="D192" s="20" t="s">
        <v>440</v>
      </c>
      <c r="E192" s="55">
        <f t="shared" ca="1" si="0"/>
        <v>0</v>
      </c>
      <c r="F192" s="55">
        <f t="shared" ca="1" si="1"/>
        <v>0</v>
      </c>
      <c r="G192" s="21">
        <f>IFERROR(SUMIF('nres bld data'!$A$3:$A$38,B192&amp;C192,'nres bld data'!$D$3:$D$38),0)</f>
        <v>0</v>
      </c>
      <c r="H192" s="21">
        <f t="shared" ref="H192:I192" ca="1" si="196">$T192*U192</f>
        <v>0</v>
      </c>
      <c r="I192" s="21">
        <f t="shared" ca="1" si="196"/>
        <v>0</v>
      </c>
      <c r="J192" s="21"/>
      <c r="K192" s="21"/>
      <c r="S192" s="115"/>
      <c r="T192" s="22">
        <f ca="1">G192/SUMIF('nres bld data'!$B$3:$B$38,$B192,'nres bld data'!$D$3:$D$38)</f>
        <v>0</v>
      </c>
      <c r="U192" s="21">
        <f>SUMIFS('Projections by County'!$D$10:$D$36,'Projections by County'!$A$10:$A$36,$B192,'Projections by County'!$C$10:$C$36,"Electricity (kWh)",'Projections by County'!$B$10:$B$36,"Commercial")*BTU_per_kWh/1000000</f>
        <v>8748576.3686132394</v>
      </c>
      <c r="V192" s="21">
        <f>SUMIFS('Projections by County'!$D$10:$D$36,'Projections by County'!$A$10:$A$36,$B192,'Projections by County'!$C$10:$C$36,"Natural Gas",'Projections by County'!$B$10:$B$36,"Commercial")</f>
        <v>9705752.7609999999</v>
      </c>
      <c r="W192" s="116"/>
      <c r="X192" s="116">
        <f>IFERROR(SUMIF('nres bld data'!$V$3:$V$254,"="&amp;$B192&amp;$C192&amp;$D192,'nres bld data'!P$3:P$254)/SUMIF('nres bld data'!$V$3:$V$254,"="&amp;$B192&amp;$C192&amp;$D192,'nres bld data'!$T$3:$T$254),0)</f>
        <v>1</v>
      </c>
      <c r="Y192" s="116">
        <f>IFERROR(SUMIF('nres bld data'!$V$3:$V$254,"="&amp;$B192&amp;$C192&amp;$D192,'nres bld data'!Q$3:Q$254)/SUMIF('nres bld data'!$V$3:$V$254,"="&amp;$B192&amp;$C192&amp;$D192,'nres bld data'!$T$3:$T$254),0)</f>
        <v>0</v>
      </c>
      <c r="AA192" s="116">
        <f ca="1">IFERROR(SUMIF('nres bld data'!$V$3:$V$254,"="&amp;$B192&amp;$C192&amp;$D192,'nres bld data'!P$3:P$254)/SUMIF('nres bld data'!$W$256:$W$297,"="&amp;$B192&amp;$C192,'nres bld data'!P$256:P$297),0)</f>
        <v>0.1984463402303431</v>
      </c>
      <c r="AB192" s="116">
        <f ca="1">IFERROR(SUMIF('nres bld data'!$V$3:$V$254,"="&amp;$B192&amp;$C192&amp;$D192,'nres bld data'!Q$3:Q$254)/SUMIF('nres bld data'!$W$256:$W$297,"="&amp;$B192&amp;$C192,'nres bld data'!Q$256:Q$297),0)</f>
        <v>0</v>
      </c>
    </row>
    <row r="193" spans="2:28">
      <c r="B193" s="20" t="s">
        <v>10</v>
      </c>
      <c r="C193" s="20" t="s">
        <v>460</v>
      </c>
      <c r="D193" s="20" t="s">
        <v>443</v>
      </c>
      <c r="E193" s="55">
        <f t="shared" ca="1" si="0"/>
        <v>0</v>
      </c>
      <c r="F193" s="55">
        <f t="shared" ca="1" si="1"/>
        <v>0</v>
      </c>
      <c r="G193" s="21">
        <f>IFERROR(SUMIF('nres bld data'!$A$3:$A$38,B193&amp;C193,'nres bld data'!$D$3:$D$38),0)</f>
        <v>0</v>
      </c>
      <c r="H193" s="21">
        <f t="shared" ref="H193:I193" ca="1" si="197">$T193*U193</f>
        <v>0</v>
      </c>
      <c r="I193" s="21">
        <f t="shared" ca="1" si="197"/>
        <v>0</v>
      </c>
      <c r="J193" s="21"/>
      <c r="K193" s="21"/>
      <c r="S193" s="115"/>
      <c r="T193" s="22">
        <f ca="1">G193/SUMIF('nres bld data'!$B$3:$B$38,$B193,'nres bld data'!$D$3:$D$38)</f>
        <v>0</v>
      </c>
      <c r="U193" s="21">
        <f>SUMIFS('Projections by County'!$D$10:$D$36,'Projections by County'!$A$10:$A$36,$B193,'Projections by County'!$C$10:$C$36,"Electricity (kWh)",'Projections by County'!$B$10:$B$36,"Commercial")*BTU_per_kWh/1000000</f>
        <v>8748576.3686132394</v>
      </c>
      <c r="V193" s="21">
        <f>SUMIFS('Projections by County'!$D$10:$D$36,'Projections by County'!$A$10:$A$36,$B193,'Projections by County'!$C$10:$C$36,"Natural Gas",'Projections by County'!$B$10:$B$36,"Commercial")</f>
        <v>9705752.7609999999</v>
      </c>
      <c r="W193" s="116"/>
      <c r="X193" s="116">
        <f>IFERROR(SUMIF('nres bld data'!$V$3:$V$254,"="&amp;$B193&amp;$C193&amp;$D193,'nres bld data'!P$3:P$254)/SUMIF('nres bld data'!$V$3:$V$254,"="&amp;$B193&amp;$C193&amp;$D193,'nres bld data'!$T$3:$T$254),0)</f>
        <v>0.15217763174482293</v>
      </c>
      <c r="Y193" s="116">
        <f>IFERROR(SUMIF('nres bld data'!$V$3:$V$254,"="&amp;$B193&amp;$C193&amp;$D193,'nres bld data'!Q$3:Q$254)/SUMIF('nres bld data'!$V$3:$V$254,"="&amp;$B193&amp;$C193&amp;$D193,'nres bld data'!$T$3:$T$254),0)</f>
        <v>0.84782236825517698</v>
      </c>
      <c r="AA193" s="116">
        <f ca="1">IFERROR(SUMIF('nres bld data'!$V$3:$V$254,"="&amp;$B193&amp;$C193&amp;$D193,'nres bld data'!P$3:P$254)/SUMIF('nres bld data'!$W$256:$W$297,"="&amp;$B193&amp;$C193,'nres bld data'!P$256:P$297),0)</f>
        <v>2.3383635719939521E-2</v>
      </c>
      <c r="AB193" s="116">
        <f ca="1">IFERROR(SUMIF('nres bld data'!$V$3:$V$254,"="&amp;$B193&amp;$C193&amp;$D193,'nres bld data'!Q$3:Q$254)/SUMIF('nres bld data'!$W$256:$W$297,"="&amp;$B193&amp;$C193,'nres bld data'!Q$256:Q$297),0)</f>
        <v>0.9257329939321528</v>
      </c>
    </row>
    <row r="194" spans="2:28">
      <c r="B194" s="20" t="s">
        <v>10</v>
      </c>
      <c r="C194" s="20" t="s">
        <v>460</v>
      </c>
      <c r="D194" s="20" t="s">
        <v>445</v>
      </c>
      <c r="E194" s="55">
        <f t="shared" ca="1" si="0"/>
        <v>0</v>
      </c>
      <c r="F194" s="55">
        <f t="shared" ca="1" si="1"/>
        <v>0</v>
      </c>
      <c r="G194" s="21">
        <f>IFERROR(SUMIF('nres bld data'!$A$3:$A$38,B194&amp;C194,'nres bld data'!$D$3:$D$38),0)</f>
        <v>0</v>
      </c>
      <c r="H194" s="21">
        <f t="shared" ref="H194:I194" ca="1" si="198">$T194*U194</f>
        <v>0</v>
      </c>
      <c r="I194" s="21">
        <f t="shared" ca="1" si="198"/>
        <v>0</v>
      </c>
      <c r="J194" s="21"/>
      <c r="K194" s="21"/>
      <c r="S194" s="115"/>
      <c r="T194" s="22">
        <f ca="1">G194/SUMIF('nres bld data'!$B$3:$B$38,$B194,'nres bld data'!$D$3:$D$38)</f>
        <v>0</v>
      </c>
      <c r="U194" s="21">
        <f>SUMIFS('Projections by County'!$D$10:$D$36,'Projections by County'!$A$10:$A$36,$B194,'Projections by County'!$C$10:$C$36,"Electricity (kWh)",'Projections by County'!$B$10:$B$36,"Commercial")*BTU_per_kWh/1000000</f>
        <v>8748576.3686132394</v>
      </c>
      <c r="V194" s="21">
        <f>SUMIFS('Projections by County'!$D$10:$D$36,'Projections by County'!$A$10:$A$36,$B194,'Projections by County'!$C$10:$C$36,"Natural Gas",'Projections by County'!$B$10:$B$36,"Commercial")</f>
        <v>9705752.7609999999</v>
      </c>
      <c r="W194" s="116"/>
      <c r="X194" s="116">
        <f>IFERROR(SUMIF('nres bld data'!$V$3:$V$254,"="&amp;$B194&amp;$C194&amp;$D194,'nres bld data'!P$3:P$254)/SUMIF('nres bld data'!$V$3:$V$254,"="&amp;$B194&amp;$C194&amp;$D194,'nres bld data'!$T$3:$T$254),0)</f>
        <v>0</v>
      </c>
      <c r="Y194" s="116">
        <f>IFERROR(SUMIF('nres bld data'!$V$3:$V$254,"="&amp;$B194&amp;$C194&amp;$D194,'nres bld data'!Q$3:Q$254)/SUMIF('nres bld data'!$V$3:$V$254,"="&amp;$B194&amp;$C194&amp;$D194,'nres bld data'!$T$3:$T$254),0)</f>
        <v>1</v>
      </c>
      <c r="AA194" s="116">
        <f ca="1">IFERROR(SUMIF('nres bld data'!$V$3:$V$254,"="&amp;$B194&amp;$C194&amp;$D194,'nres bld data'!P$3:P$254)/SUMIF('nres bld data'!$W$256:$W$297,"="&amp;$B194&amp;$C194,'nres bld data'!P$256:P$297),0)</f>
        <v>0</v>
      </c>
      <c r="AB194" s="116">
        <f ca="1">IFERROR(SUMIF('nres bld data'!$V$3:$V$254,"="&amp;$B194&amp;$C194&amp;$D194,'nres bld data'!Q$3:Q$254)/SUMIF('nres bld data'!$W$256:$W$297,"="&amp;$B194&amp;$C194,'nres bld data'!Q$256:Q$297),0)</f>
        <v>7.4267006067847224E-2</v>
      </c>
    </row>
    <row r="195" spans="2:28">
      <c r="B195" s="20" t="s">
        <v>10</v>
      </c>
      <c r="C195" s="20" t="s">
        <v>434</v>
      </c>
      <c r="D195" s="20" t="s">
        <v>429</v>
      </c>
      <c r="E195" s="55">
        <f t="shared" ca="1" si="0"/>
        <v>1.6929494806359937E-2</v>
      </c>
      <c r="F195" s="55">
        <f t="shared" ca="1" si="1"/>
        <v>0</v>
      </c>
      <c r="G195" s="21">
        <f ca="1">IFERROR(SUMIF('nres bld data'!$A$3:$A$38,B195&amp;C195,'nres bld data'!$D$3:$D$38),0)</f>
        <v>69650443</v>
      </c>
      <c r="H195" s="21">
        <f t="shared" ref="H195:I195" ca="1" si="199">$T195*U195</f>
        <v>2979489.9613950932</v>
      </c>
      <c r="I195" s="21">
        <f t="shared" ca="1" si="199"/>
        <v>3305474.1366755781</v>
      </c>
      <c r="J195" s="21"/>
      <c r="K195" s="21"/>
      <c r="S195" s="115"/>
      <c r="T195" s="22">
        <f ca="1">G195/SUMIF('nres bld data'!$B$3:$B$38,$B195,'nres bld data'!$D$3:$D$38)</f>
        <v>0.3405685491966941</v>
      </c>
      <c r="U195" s="21">
        <f>SUMIFS('Projections by County'!$D$10:$D$36,'Projections by County'!$A$10:$A$36,$B195,'Projections by County'!$C$10:$C$36,"Electricity (kWh)",'Projections by County'!$B$10:$B$36,"Commercial")*BTU_per_kWh/1000000</f>
        <v>8748576.3686132394</v>
      </c>
      <c r="V195" s="21">
        <f>SUMIFS('Projections by County'!$D$10:$D$36,'Projections by County'!$A$10:$A$36,$B195,'Projections by County'!$C$10:$C$36,"Natural Gas",'Projections by County'!$B$10:$B$36,"Commercial")</f>
        <v>9705752.7609999999</v>
      </c>
      <c r="W195" s="116"/>
      <c r="X195" s="116">
        <f>IFERROR(SUMIF('nres bld data'!$V$3:$V$254,"="&amp;$B195&amp;$C195&amp;$D195,'nres bld data'!P$3:P$254)/SUMIF('nres bld data'!$V$3:$V$254,"="&amp;$B195&amp;$C195&amp;$D195,'nres bld data'!$T$3:$T$254),0)</f>
        <v>1</v>
      </c>
      <c r="Y195" s="116">
        <f>IFERROR(SUMIF('nres bld data'!$V$3:$V$254,"="&amp;$B195&amp;$C195&amp;$D195,'nres bld data'!Q$3:Q$254)/SUMIF('nres bld data'!$V$3:$V$254,"="&amp;$B195&amp;$C195&amp;$D195,'nres bld data'!$T$3:$T$254),0)</f>
        <v>0</v>
      </c>
      <c r="AA195" s="116">
        <f ca="1">IFERROR(SUMIF('nres bld data'!$V$3:$V$254,"="&amp;$B195&amp;$C195&amp;$D195,'nres bld data'!P$3:P$254)/SUMIF('nres bld data'!$W$256:$W$297,"="&amp;$B195&amp;$C195,'nres bld data'!P$256:P$297),0)</f>
        <v>0.39575458494817495</v>
      </c>
      <c r="AB195" s="116">
        <f ca="1">IFERROR(SUMIF('nres bld data'!$V$3:$V$254,"="&amp;$B195&amp;$C195&amp;$D195,'nres bld data'!Q$3:Q$254)/SUMIF('nres bld data'!$W$256:$W$297,"="&amp;$B195&amp;$C195,'nres bld data'!Q$256:Q$297),0)</f>
        <v>0</v>
      </c>
    </row>
    <row r="196" spans="2:28">
      <c r="B196" s="20" t="s">
        <v>10</v>
      </c>
      <c r="C196" s="20" t="s">
        <v>434</v>
      </c>
      <c r="D196" s="20" t="s">
        <v>433</v>
      </c>
      <c r="E196" s="55">
        <f t="shared" ca="1" si="0"/>
        <v>1.2046237220269911E-2</v>
      </c>
      <c r="F196" s="55">
        <f t="shared" ca="1" si="1"/>
        <v>0</v>
      </c>
      <c r="G196" s="21">
        <f ca="1">IFERROR(SUMIF('nres bld data'!$A$3:$A$38,B196&amp;C196,'nres bld data'!$D$3:$D$38),0)</f>
        <v>69650443</v>
      </c>
      <c r="H196" s="21">
        <f t="shared" ref="H196:I196" ca="1" si="200">$T196*U196</f>
        <v>2979489.9613950932</v>
      </c>
      <c r="I196" s="21">
        <f t="shared" ca="1" si="200"/>
        <v>3305474.1366755781</v>
      </c>
      <c r="J196" s="21"/>
      <c r="K196" s="21"/>
      <c r="S196" s="115"/>
      <c r="T196" s="22">
        <f ca="1">G196/SUMIF('nres bld data'!$B$3:$B$38,$B196,'nres bld data'!$D$3:$D$38)</f>
        <v>0.3405685491966941</v>
      </c>
      <c r="U196" s="21">
        <f>SUMIFS('Projections by County'!$D$10:$D$36,'Projections by County'!$A$10:$A$36,$B196,'Projections by County'!$C$10:$C$36,"Electricity (kWh)",'Projections by County'!$B$10:$B$36,"Commercial")*BTU_per_kWh/1000000</f>
        <v>8748576.3686132394</v>
      </c>
      <c r="V196" s="21">
        <f>SUMIFS('Projections by County'!$D$10:$D$36,'Projections by County'!$A$10:$A$36,$B196,'Projections by County'!$C$10:$C$36,"Natural Gas",'Projections by County'!$B$10:$B$36,"Commercial")</f>
        <v>9705752.7609999999</v>
      </c>
      <c r="W196" s="116"/>
      <c r="X196" s="116">
        <f>IFERROR(SUMIF('nres bld data'!$V$3:$V$254,"="&amp;$B196&amp;$C196&amp;$D196,'nres bld data'!P$3:P$254)/SUMIF('nres bld data'!$V$3:$V$254,"="&amp;$B196&amp;$C196&amp;$D196,'nres bld data'!$T$3:$T$254),0)</f>
        <v>1</v>
      </c>
      <c r="Y196" s="116">
        <f>IFERROR(SUMIF('nres bld data'!$V$3:$V$254,"="&amp;$B196&amp;$C196&amp;$D196,'nres bld data'!Q$3:Q$254)/SUMIF('nres bld data'!$V$3:$V$254,"="&amp;$B196&amp;$C196&amp;$D196,'nres bld data'!$T$3:$T$254),0)</f>
        <v>0</v>
      </c>
      <c r="AA196" s="116">
        <f ca="1">IFERROR(SUMIF('nres bld data'!$V$3:$V$254,"="&amp;$B196&amp;$C196&amp;$D196,'nres bld data'!P$3:P$254)/SUMIF('nres bld data'!$W$256:$W$297,"="&amp;$B196&amp;$C196,'nres bld data'!P$256:P$297),0)</f>
        <v>0.28160046509504905</v>
      </c>
      <c r="AB196" s="116">
        <f ca="1">IFERROR(SUMIF('nres bld data'!$V$3:$V$254,"="&amp;$B196&amp;$C196&amp;$D196,'nres bld data'!Q$3:Q$254)/SUMIF('nres bld data'!$W$256:$W$297,"="&amp;$B196&amp;$C196,'nres bld data'!Q$256:Q$297),0)</f>
        <v>0</v>
      </c>
    </row>
    <row r="197" spans="2:28">
      <c r="B197" s="20" t="s">
        <v>10</v>
      </c>
      <c r="C197" s="20" t="s">
        <v>434</v>
      </c>
      <c r="D197" s="20" t="s">
        <v>437</v>
      </c>
      <c r="E197" s="55">
        <f t="shared" ca="1" si="0"/>
        <v>5.4427648702330628E-3</v>
      </c>
      <c r="F197" s="55">
        <f t="shared" ca="1" si="1"/>
        <v>0</v>
      </c>
      <c r="G197" s="21">
        <f ca="1">IFERROR(SUMIF('nres bld data'!$A$3:$A$38,B197&amp;C197,'nres bld data'!$D$3:$D$38),0)</f>
        <v>69650443</v>
      </c>
      <c r="H197" s="21">
        <f t="shared" ref="H197:I197" ca="1" si="201">$T197*U197</f>
        <v>2979489.9613950932</v>
      </c>
      <c r="I197" s="21">
        <f t="shared" ca="1" si="201"/>
        <v>3305474.1366755781</v>
      </c>
      <c r="J197" s="21"/>
      <c r="K197" s="21"/>
      <c r="S197" s="115"/>
      <c r="T197" s="22">
        <f ca="1">G197/SUMIF('nres bld data'!$B$3:$B$38,$B197,'nres bld data'!$D$3:$D$38)</f>
        <v>0.3405685491966941</v>
      </c>
      <c r="U197" s="21">
        <f>SUMIFS('Projections by County'!$D$10:$D$36,'Projections by County'!$A$10:$A$36,$B197,'Projections by County'!$C$10:$C$36,"Electricity (kWh)",'Projections by County'!$B$10:$B$36,"Commercial")*BTU_per_kWh/1000000</f>
        <v>8748576.3686132394</v>
      </c>
      <c r="V197" s="21">
        <f>SUMIFS('Projections by County'!$D$10:$D$36,'Projections by County'!$A$10:$A$36,$B197,'Projections by County'!$C$10:$C$36,"Natural Gas",'Projections by County'!$B$10:$B$36,"Commercial")</f>
        <v>9705752.7609999999</v>
      </c>
      <c r="W197" s="116"/>
      <c r="X197" s="116">
        <f>IFERROR(SUMIF('nres bld data'!$V$3:$V$254,"="&amp;$B197&amp;$C197&amp;$D197,'nres bld data'!P$3:P$254)/SUMIF('nres bld data'!$V$3:$V$254,"="&amp;$B197&amp;$C197&amp;$D197,'nres bld data'!$T$3:$T$254),0)</f>
        <v>1</v>
      </c>
      <c r="Y197" s="116">
        <f>IFERROR(SUMIF('nres bld data'!$V$3:$V$254,"="&amp;$B197&amp;$C197&amp;$D197,'nres bld data'!Q$3:Q$254)/SUMIF('nres bld data'!$V$3:$V$254,"="&amp;$B197&amp;$C197&amp;$D197,'nres bld data'!$T$3:$T$254),0)</f>
        <v>0</v>
      </c>
      <c r="AA197" s="116">
        <f ca="1">IFERROR(SUMIF('nres bld data'!$V$3:$V$254,"="&amp;$B197&amp;$C197&amp;$D197,'nres bld data'!P$3:P$254)/SUMIF('nres bld data'!$W$256:$W$297,"="&amp;$B197&amp;$C197,'nres bld data'!P$256:P$297),0)</f>
        <v>0.12723351622875337</v>
      </c>
      <c r="AB197" s="116">
        <f ca="1">IFERROR(SUMIF('nres bld data'!$V$3:$V$254,"="&amp;$B197&amp;$C197&amp;$D197,'nres bld data'!Q$3:Q$254)/SUMIF('nres bld data'!$W$256:$W$297,"="&amp;$B197&amp;$C197,'nres bld data'!Q$256:Q$297),0)</f>
        <v>0</v>
      </c>
    </row>
    <row r="198" spans="2:28">
      <c r="B198" s="20" t="s">
        <v>10</v>
      </c>
      <c r="C198" s="20" t="s">
        <v>434</v>
      </c>
      <c r="D198" s="20" t="s">
        <v>440</v>
      </c>
      <c r="E198" s="55">
        <f t="shared" ca="1" si="0"/>
        <v>6.3338590207342926E-3</v>
      </c>
      <c r="F198" s="55">
        <f t="shared" ca="1" si="1"/>
        <v>0</v>
      </c>
      <c r="G198" s="21">
        <f ca="1">IFERROR(SUMIF('nres bld data'!$A$3:$A$38,B198&amp;C198,'nres bld data'!$D$3:$D$38),0)</f>
        <v>69650443</v>
      </c>
      <c r="H198" s="21">
        <f t="shared" ref="H198:I198" ca="1" si="202">$T198*U198</f>
        <v>2979489.9613950932</v>
      </c>
      <c r="I198" s="21">
        <f t="shared" ca="1" si="202"/>
        <v>3305474.1366755781</v>
      </c>
      <c r="J198" s="21"/>
      <c r="K198" s="21"/>
      <c r="S198" s="115"/>
      <c r="T198" s="22">
        <f ca="1">G198/SUMIF('nres bld data'!$B$3:$B$38,$B198,'nres bld data'!$D$3:$D$38)</f>
        <v>0.3405685491966941</v>
      </c>
      <c r="U198" s="21">
        <f>SUMIFS('Projections by County'!$D$10:$D$36,'Projections by County'!$A$10:$A$36,$B198,'Projections by County'!$C$10:$C$36,"Electricity (kWh)",'Projections by County'!$B$10:$B$36,"Commercial")*BTU_per_kWh/1000000</f>
        <v>8748576.3686132394</v>
      </c>
      <c r="V198" s="21">
        <f>SUMIFS('Projections by County'!$D$10:$D$36,'Projections by County'!$A$10:$A$36,$B198,'Projections by County'!$C$10:$C$36,"Natural Gas",'Projections by County'!$B$10:$B$36,"Commercial")</f>
        <v>9705752.7609999999</v>
      </c>
      <c r="W198" s="116"/>
      <c r="X198" s="116">
        <f>IFERROR(SUMIF('nres bld data'!$V$3:$V$254,"="&amp;$B198&amp;$C198&amp;$D198,'nres bld data'!P$3:P$254)/SUMIF('nres bld data'!$V$3:$V$254,"="&amp;$B198&amp;$C198&amp;$D198,'nres bld data'!$T$3:$T$254),0)</f>
        <v>1</v>
      </c>
      <c r="Y198" s="116">
        <f>IFERROR(SUMIF('nres bld data'!$V$3:$V$254,"="&amp;$B198&amp;$C198&amp;$D198,'nres bld data'!Q$3:Q$254)/SUMIF('nres bld data'!$V$3:$V$254,"="&amp;$B198&amp;$C198&amp;$D198,'nres bld data'!$T$3:$T$254),0)</f>
        <v>0</v>
      </c>
      <c r="AA198" s="116">
        <f ca="1">IFERROR(SUMIF('nres bld data'!$V$3:$V$254,"="&amp;$B198&amp;$C198&amp;$D198,'nres bld data'!P$3:P$254)/SUMIF('nres bld data'!$W$256:$W$297,"="&amp;$B198&amp;$C198,'nres bld data'!P$256:P$297),0)</f>
        <v>0.14806429704737994</v>
      </c>
      <c r="AB198" s="116">
        <f ca="1">IFERROR(SUMIF('nres bld data'!$V$3:$V$254,"="&amp;$B198&amp;$C198&amp;$D198,'nres bld data'!Q$3:Q$254)/SUMIF('nres bld data'!$W$256:$W$297,"="&amp;$B198&amp;$C198,'nres bld data'!Q$256:Q$297),0)</f>
        <v>0</v>
      </c>
    </row>
    <row r="199" spans="2:28">
      <c r="B199" s="20" t="s">
        <v>10</v>
      </c>
      <c r="C199" s="20" t="s">
        <v>434</v>
      </c>
      <c r="D199" s="20" t="s">
        <v>443</v>
      </c>
      <c r="E199" s="55">
        <f t="shared" ca="1" si="0"/>
        <v>1.5745466125588684E-3</v>
      </c>
      <c r="F199" s="55">
        <f t="shared" ca="1" si="1"/>
        <v>4.5205423876139551E-2</v>
      </c>
      <c r="G199" s="21">
        <f ca="1">IFERROR(SUMIF('nres bld data'!$A$3:$A$38,B199&amp;C199,'nres bld data'!$D$3:$D$38),0)</f>
        <v>69650443</v>
      </c>
      <c r="H199" s="21">
        <f t="shared" ref="H199:I199" ca="1" si="203">$T199*U199</f>
        <v>2979489.9613950932</v>
      </c>
      <c r="I199" s="21">
        <f t="shared" ca="1" si="203"/>
        <v>3305474.1366755781</v>
      </c>
      <c r="J199" s="21"/>
      <c r="K199" s="21"/>
      <c r="S199" s="115"/>
      <c r="T199" s="22">
        <f ca="1">G199/SUMIF('nres bld data'!$B$3:$B$38,$B199,'nres bld data'!$D$3:$D$38)</f>
        <v>0.3405685491966941</v>
      </c>
      <c r="U199" s="21">
        <f>SUMIFS('Projections by County'!$D$10:$D$36,'Projections by County'!$A$10:$A$36,$B199,'Projections by County'!$C$10:$C$36,"Electricity (kWh)",'Projections by County'!$B$10:$B$36,"Commercial")*BTU_per_kWh/1000000</f>
        <v>8748576.3686132394</v>
      </c>
      <c r="V199" s="21">
        <f>SUMIFS('Projections by County'!$D$10:$D$36,'Projections by County'!$A$10:$A$36,$B199,'Projections by County'!$C$10:$C$36,"Natural Gas",'Projections by County'!$B$10:$B$36,"Commercial")</f>
        <v>9705752.7609999999</v>
      </c>
      <c r="W199" s="116"/>
      <c r="X199" s="116">
        <f>IFERROR(SUMIF('nres bld data'!$V$3:$V$254,"="&amp;$B199&amp;$C199&amp;$D199,'nres bld data'!P$3:P$254)/SUMIF('nres bld data'!$V$3:$V$254,"="&amp;$B199&amp;$C199&amp;$D199,'nres bld data'!$T$3:$T$254),0)</f>
        <v>0.10090496408870753</v>
      </c>
      <c r="Y199" s="116">
        <f>IFERROR(SUMIF('nres bld data'!$V$3:$V$254,"="&amp;$B199&amp;$C199&amp;$D199,'nres bld data'!Q$3:Q$254)/SUMIF('nres bld data'!$V$3:$V$254,"="&amp;$B199&amp;$C199&amp;$D199,'nres bld data'!$T$3:$T$254),0)</f>
        <v>0.89909503591129247</v>
      </c>
      <c r="AA199" s="116">
        <f ca="1">IFERROR(SUMIF('nres bld data'!$V$3:$V$254,"="&amp;$B199&amp;$C199&amp;$D199,'nres bld data'!P$3:P$254)/SUMIF('nres bld data'!$W$256:$W$297,"="&amp;$B199&amp;$C199,'nres bld data'!P$256:P$297),0)</f>
        <v>3.6807598115727334E-2</v>
      </c>
      <c r="AB199" s="116">
        <f ca="1">IFERROR(SUMIF('nres bld data'!$V$3:$V$254,"="&amp;$B199&amp;$C199&amp;$D199,'nres bld data'!Q$3:Q$254)/SUMIF('nres bld data'!$W$256:$W$297,"="&amp;$B199&amp;$C199,'nres bld data'!Q$256:Q$297),0)</f>
        <v>0.95253439258263972</v>
      </c>
    </row>
    <row r="200" spans="2:28">
      <c r="B200" s="20" t="s">
        <v>10</v>
      </c>
      <c r="C200" s="20" t="s">
        <v>434</v>
      </c>
      <c r="D200" s="20" t="s">
        <v>445</v>
      </c>
      <c r="E200" s="55">
        <f t="shared" ca="1" si="0"/>
        <v>4.508578553032542E-4</v>
      </c>
      <c r="F200" s="55">
        <f t="shared" ca="1" si="1"/>
        <v>2.2526251225664286E-3</v>
      </c>
      <c r="G200" s="21">
        <f ca="1">IFERROR(SUMIF('nres bld data'!$A$3:$A$38,B200&amp;C200,'nres bld data'!$D$3:$D$38),0)</f>
        <v>69650443</v>
      </c>
      <c r="H200" s="21">
        <f t="shared" ref="H200:I200" ca="1" si="204">$T200*U200</f>
        <v>2979489.9613950932</v>
      </c>
      <c r="I200" s="21">
        <f t="shared" ca="1" si="204"/>
        <v>3305474.1366755781</v>
      </c>
      <c r="J200" s="21"/>
      <c r="K200" s="21"/>
      <c r="S200" s="115"/>
      <c r="T200" s="22">
        <f ca="1">G200/SUMIF('nres bld data'!$B$3:$B$38,$B200,'nres bld data'!$D$3:$D$38)</f>
        <v>0.3405685491966941</v>
      </c>
      <c r="U200" s="21">
        <f>SUMIFS('Projections by County'!$D$10:$D$36,'Projections by County'!$A$10:$A$36,$B200,'Projections by County'!$C$10:$C$36,"Electricity (kWh)",'Projections by County'!$B$10:$B$36,"Commercial")*BTU_per_kWh/1000000</f>
        <v>8748576.3686132394</v>
      </c>
      <c r="V200" s="21">
        <f>SUMIFS('Projections by County'!$D$10:$D$36,'Projections by County'!$A$10:$A$36,$B200,'Projections by County'!$C$10:$C$36,"Natural Gas",'Projections by County'!$B$10:$B$36,"Commercial")</f>
        <v>9705752.7609999999</v>
      </c>
      <c r="W200" s="116"/>
      <c r="X200" s="116">
        <f>IFERROR(SUMIF('nres bld data'!$V$3:$V$254,"="&amp;$B200&amp;$C200&amp;$D200,'nres bld data'!P$3:P$254)/SUMIF('nres bld data'!$V$3:$V$254,"="&amp;$B200&amp;$C200&amp;$D200,'nres bld data'!$T$3:$T$254),0)</f>
        <v>0.39206047050221038</v>
      </c>
      <c r="Y200" s="116">
        <f>IFERROR(SUMIF('nres bld data'!$V$3:$V$254,"="&amp;$B200&amp;$C200&amp;$D200,'nres bld data'!Q$3:Q$254)/SUMIF('nres bld data'!$V$3:$V$254,"="&amp;$B200&amp;$C200&amp;$D200,'nres bld data'!$T$3:$T$254),0)</f>
        <v>0.60793952949778962</v>
      </c>
      <c r="AA200" s="116">
        <f ca="1">IFERROR(SUMIF('nres bld data'!$V$3:$V$254,"="&amp;$B200&amp;$C200&amp;$D200,'nres bld data'!P$3:P$254)/SUMIF('nres bld data'!$W$256:$W$297,"="&amp;$B200&amp;$C200,'nres bld data'!P$256:P$297),0)</f>
        <v>1.0539538564915291E-2</v>
      </c>
      <c r="AB200" s="116">
        <f ca="1">IFERROR(SUMIF('nres bld data'!$V$3:$V$254,"="&amp;$B200&amp;$C200&amp;$D200,'nres bld data'!Q$3:Q$254)/SUMIF('nres bld data'!$W$256:$W$297,"="&amp;$B200&amp;$C200,'nres bld data'!Q$256:Q$297),0)</f>
        <v>4.7465607417360334E-2</v>
      </c>
    </row>
    <row r="201" spans="2:28">
      <c r="B201" s="20" t="s">
        <v>10</v>
      </c>
      <c r="C201" s="20" t="s">
        <v>461</v>
      </c>
      <c r="D201" s="20" t="s">
        <v>429</v>
      </c>
      <c r="E201" s="55">
        <f t="shared" ca="1" si="0"/>
        <v>0</v>
      </c>
      <c r="F201" s="55">
        <f t="shared" ca="1" si="1"/>
        <v>0</v>
      </c>
      <c r="G201" s="21">
        <f>IFERROR(SUMIF('nres bld data'!$A$3:$A$38,B201&amp;C201,'nres bld data'!$D$3:$D$38),0)</f>
        <v>0</v>
      </c>
      <c r="H201" s="21">
        <f t="shared" ref="H201:I201" ca="1" si="205">$T201*U201</f>
        <v>0</v>
      </c>
      <c r="I201" s="21">
        <f t="shared" ca="1" si="205"/>
        <v>0</v>
      </c>
      <c r="J201" s="21"/>
      <c r="K201" s="21"/>
      <c r="S201" s="115"/>
      <c r="T201" s="22">
        <f ca="1">G201/SUMIF('nres bld data'!$B$3:$B$38,$B201,'nres bld data'!$D$3:$D$38)</f>
        <v>0</v>
      </c>
      <c r="U201" s="21">
        <f>SUMIFS('Projections by County'!$D$10:$D$36,'Projections by County'!$A$10:$A$36,$B201,'Projections by County'!$C$10:$C$36,"Electricity (kWh)",'Projections by County'!$B$10:$B$36,"Commercial")*BTU_per_kWh/1000000</f>
        <v>8748576.3686132394</v>
      </c>
      <c r="V201" s="21">
        <f>SUMIFS('Projections by County'!$D$10:$D$36,'Projections by County'!$A$10:$A$36,$B201,'Projections by County'!$C$10:$C$36,"Natural Gas",'Projections by County'!$B$10:$B$36,"Commercial")</f>
        <v>9705752.7609999999</v>
      </c>
      <c r="W201" s="116"/>
      <c r="X201" s="116">
        <f>IFERROR(SUMIF('nres bld data'!$V$3:$V$254,"="&amp;$B201&amp;$C201&amp;$D201,'nres bld data'!P$3:P$254)/SUMIF('nres bld data'!$V$3:$V$254,"="&amp;$B201&amp;$C201&amp;$D201,'nres bld data'!$T$3:$T$254),0)</f>
        <v>0.85530283870693191</v>
      </c>
      <c r="Y201" s="116">
        <f>IFERROR(SUMIF('nres bld data'!$V$3:$V$254,"="&amp;$B201&amp;$C201&amp;$D201,'nres bld data'!Q$3:Q$254)/SUMIF('nres bld data'!$V$3:$V$254,"="&amp;$B201&amp;$C201&amp;$D201,'nres bld data'!$T$3:$T$254),0)</f>
        <v>0.14469716129306798</v>
      </c>
      <c r="AA201" s="116">
        <f ca="1">IFERROR(SUMIF('nres bld data'!$V$3:$V$254,"="&amp;$B201&amp;$C201&amp;$D201,'nres bld data'!P$3:P$254)/SUMIF('nres bld data'!$W$256:$W$297,"="&amp;$B201&amp;$C201,'nres bld data'!P$256:P$297),0)</f>
        <v>0.401095287597943</v>
      </c>
      <c r="AB201" s="116">
        <f ca="1">IFERROR(SUMIF('nres bld data'!$V$3:$V$254,"="&amp;$B201&amp;$C201&amp;$D201,'nres bld data'!Q$3:Q$254)/SUMIF('nres bld data'!$W$256:$W$297,"="&amp;$B201&amp;$C201,'nres bld data'!Q$256:Q$297),0)</f>
        <v>0.196037305386804</v>
      </c>
    </row>
    <row r="202" spans="2:28">
      <c r="B202" s="20" t="s">
        <v>10</v>
      </c>
      <c r="C202" s="20" t="s">
        <v>461</v>
      </c>
      <c r="D202" s="20" t="s">
        <v>433</v>
      </c>
      <c r="E202" s="55">
        <f t="shared" ca="1" si="0"/>
        <v>0</v>
      </c>
      <c r="F202" s="55">
        <f t="shared" ca="1" si="1"/>
        <v>0</v>
      </c>
      <c r="G202" s="21">
        <f>IFERROR(SUMIF('nres bld data'!$A$3:$A$38,B202&amp;C202,'nres bld data'!$D$3:$D$38),0)</f>
        <v>0</v>
      </c>
      <c r="H202" s="21">
        <f t="shared" ref="H202:I202" ca="1" si="206">$T202*U202</f>
        <v>0</v>
      </c>
      <c r="I202" s="21">
        <f t="shared" ca="1" si="206"/>
        <v>0</v>
      </c>
      <c r="J202" s="21"/>
      <c r="K202" s="21"/>
      <c r="S202" s="115"/>
      <c r="T202" s="22">
        <f ca="1">G202/SUMIF('nres bld data'!$B$3:$B$38,$B202,'nres bld data'!$D$3:$D$38)</f>
        <v>0</v>
      </c>
      <c r="U202" s="21">
        <f>SUMIFS('Projections by County'!$D$10:$D$36,'Projections by County'!$A$10:$A$36,$B202,'Projections by County'!$C$10:$C$36,"Electricity (kWh)",'Projections by County'!$B$10:$B$36,"Commercial")*BTU_per_kWh/1000000</f>
        <v>8748576.3686132394</v>
      </c>
      <c r="V202" s="21">
        <f>SUMIFS('Projections by County'!$D$10:$D$36,'Projections by County'!$A$10:$A$36,$B202,'Projections by County'!$C$10:$C$36,"Natural Gas",'Projections by County'!$B$10:$B$36,"Commercial")</f>
        <v>9705752.7609999999</v>
      </c>
      <c r="W202" s="116"/>
      <c r="X202" s="116">
        <f>IFERROR(SUMIF('nres bld data'!$V$3:$V$254,"="&amp;$B202&amp;$C202&amp;$D202,'nres bld data'!P$3:P$254)/SUMIF('nres bld data'!$V$3:$V$254,"="&amp;$B202&amp;$C202&amp;$D202,'nres bld data'!$T$3:$T$254),0)</f>
        <v>1</v>
      </c>
      <c r="Y202" s="116">
        <f>IFERROR(SUMIF('nres bld data'!$V$3:$V$254,"="&amp;$B202&amp;$C202&amp;$D202,'nres bld data'!Q$3:Q$254)/SUMIF('nres bld data'!$V$3:$V$254,"="&amp;$B202&amp;$C202&amp;$D202,'nres bld data'!$T$3:$T$254),0)</f>
        <v>0</v>
      </c>
      <c r="AA202" s="116">
        <f ca="1">IFERROR(SUMIF('nres bld data'!$V$3:$V$254,"="&amp;$B202&amp;$C202&amp;$D202,'nres bld data'!P$3:P$254)/SUMIF('nres bld data'!$W$256:$W$297,"="&amp;$B202&amp;$C202,'nres bld data'!P$256:P$297),0)</f>
        <v>0.25110198027077785</v>
      </c>
      <c r="AB202" s="116">
        <f ca="1">IFERROR(SUMIF('nres bld data'!$V$3:$V$254,"="&amp;$B202&amp;$C202&amp;$D202,'nres bld data'!Q$3:Q$254)/SUMIF('nres bld data'!$W$256:$W$297,"="&amp;$B202&amp;$C202,'nres bld data'!Q$256:Q$297),0)</f>
        <v>0</v>
      </c>
    </row>
    <row r="203" spans="2:28">
      <c r="B203" s="20" t="s">
        <v>10</v>
      </c>
      <c r="C203" s="20" t="s">
        <v>461</v>
      </c>
      <c r="D203" s="20" t="s">
        <v>437</v>
      </c>
      <c r="E203" s="55">
        <f t="shared" ca="1" si="0"/>
        <v>0</v>
      </c>
      <c r="F203" s="55">
        <f t="shared" ca="1" si="1"/>
        <v>0</v>
      </c>
      <c r="G203" s="21">
        <f>IFERROR(SUMIF('nres bld data'!$A$3:$A$38,B203&amp;C203,'nres bld data'!$D$3:$D$38),0)</f>
        <v>0</v>
      </c>
      <c r="H203" s="21">
        <f t="shared" ref="H203:I203" ca="1" si="207">$T203*U203</f>
        <v>0</v>
      </c>
      <c r="I203" s="21">
        <f t="shared" ca="1" si="207"/>
        <v>0</v>
      </c>
      <c r="J203" s="21"/>
      <c r="K203" s="21"/>
      <c r="S203" s="115"/>
      <c r="T203" s="22">
        <f ca="1">G203/SUMIF('nres bld data'!$B$3:$B$38,$B203,'nres bld data'!$D$3:$D$38)</f>
        <v>0</v>
      </c>
      <c r="U203" s="21">
        <f>SUMIFS('Projections by County'!$D$10:$D$36,'Projections by County'!$A$10:$A$36,$B203,'Projections by County'!$C$10:$C$36,"Electricity (kWh)",'Projections by County'!$B$10:$B$36,"Commercial")*BTU_per_kWh/1000000</f>
        <v>8748576.3686132394</v>
      </c>
      <c r="V203" s="21">
        <f>SUMIFS('Projections by County'!$D$10:$D$36,'Projections by County'!$A$10:$A$36,$B203,'Projections by County'!$C$10:$C$36,"Natural Gas",'Projections by County'!$B$10:$B$36,"Commercial")</f>
        <v>9705752.7609999999</v>
      </c>
      <c r="W203" s="116"/>
      <c r="X203" s="116">
        <f>IFERROR(SUMIF('nres bld data'!$V$3:$V$254,"="&amp;$B203&amp;$C203&amp;$D203,'nres bld data'!P$3:P$254)/SUMIF('nres bld data'!$V$3:$V$254,"="&amp;$B203&amp;$C203&amp;$D203,'nres bld data'!$T$3:$T$254),0)</f>
        <v>1</v>
      </c>
      <c r="Y203" s="116">
        <f>IFERROR(SUMIF('nres bld data'!$V$3:$V$254,"="&amp;$B203&amp;$C203&amp;$D203,'nres bld data'!Q$3:Q$254)/SUMIF('nres bld data'!$V$3:$V$254,"="&amp;$B203&amp;$C203&amp;$D203,'nres bld data'!$T$3:$T$254),0)</f>
        <v>0</v>
      </c>
      <c r="AA203" s="116">
        <f ca="1">IFERROR(SUMIF('nres bld data'!$V$3:$V$254,"="&amp;$B203&amp;$C203&amp;$D203,'nres bld data'!P$3:P$254)/SUMIF('nres bld data'!$W$256:$W$297,"="&amp;$B203&amp;$C203,'nres bld data'!P$256:P$297),0)</f>
        <v>0.19668818849794725</v>
      </c>
      <c r="AB203" s="116">
        <f ca="1">IFERROR(SUMIF('nres bld data'!$V$3:$V$254,"="&amp;$B203&amp;$C203&amp;$D203,'nres bld data'!Q$3:Q$254)/SUMIF('nres bld data'!$W$256:$W$297,"="&amp;$B203&amp;$C203,'nres bld data'!Q$256:Q$297),0)</f>
        <v>0</v>
      </c>
    </row>
    <row r="204" spans="2:28">
      <c r="B204" s="20" t="s">
        <v>10</v>
      </c>
      <c r="C204" s="20" t="s">
        <v>461</v>
      </c>
      <c r="D204" s="20" t="s">
        <v>440</v>
      </c>
      <c r="E204" s="55">
        <f t="shared" ca="1" si="0"/>
        <v>0</v>
      </c>
      <c r="F204" s="55">
        <f t="shared" ca="1" si="1"/>
        <v>0</v>
      </c>
      <c r="G204" s="21">
        <f>IFERROR(SUMIF('nres bld data'!$A$3:$A$38,B204&amp;C204,'nres bld data'!$D$3:$D$38),0)</f>
        <v>0</v>
      </c>
      <c r="H204" s="21">
        <f t="shared" ref="H204:I204" ca="1" si="208">$T204*U204</f>
        <v>0</v>
      </c>
      <c r="I204" s="21">
        <f t="shared" ca="1" si="208"/>
        <v>0</v>
      </c>
      <c r="J204" s="21"/>
      <c r="K204" s="21"/>
      <c r="S204" s="115"/>
      <c r="T204" s="22">
        <f ca="1">G204/SUMIF('nres bld data'!$B$3:$B$38,$B204,'nres bld data'!$D$3:$D$38)</f>
        <v>0</v>
      </c>
      <c r="U204" s="21">
        <f>SUMIFS('Projections by County'!$D$10:$D$36,'Projections by County'!$A$10:$A$36,$B204,'Projections by County'!$C$10:$C$36,"Electricity (kWh)",'Projections by County'!$B$10:$B$36,"Commercial")*BTU_per_kWh/1000000</f>
        <v>8748576.3686132394</v>
      </c>
      <c r="V204" s="21">
        <f>SUMIFS('Projections by County'!$D$10:$D$36,'Projections by County'!$A$10:$A$36,$B204,'Projections by County'!$C$10:$C$36,"Natural Gas",'Projections by County'!$B$10:$B$36,"Commercial")</f>
        <v>9705752.7609999999</v>
      </c>
      <c r="W204" s="116"/>
      <c r="X204" s="116">
        <f>IFERROR(SUMIF('nres bld data'!$V$3:$V$254,"="&amp;$B204&amp;$C204&amp;$D204,'nres bld data'!P$3:P$254)/SUMIF('nres bld data'!$V$3:$V$254,"="&amp;$B204&amp;$C204&amp;$D204,'nres bld data'!$T$3:$T$254),0)</f>
        <v>1</v>
      </c>
      <c r="Y204" s="116">
        <f>IFERROR(SUMIF('nres bld data'!$V$3:$V$254,"="&amp;$B204&amp;$C204&amp;$D204,'nres bld data'!Q$3:Q$254)/SUMIF('nres bld data'!$V$3:$V$254,"="&amp;$B204&amp;$C204&amp;$D204,'nres bld data'!$T$3:$T$254),0)</f>
        <v>0</v>
      </c>
      <c r="AA204" s="116">
        <f ca="1">IFERROR(SUMIF('nres bld data'!$V$3:$V$254,"="&amp;$B204&amp;$C204&amp;$D204,'nres bld data'!P$3:P$254)/SUMIF('nres bld data'!$W$256:$W$297,"="&amp;$B204&amp;$C204,'nres bld data'!P$256:P$297),0)</f>
        <v>0.11834065658463862</v>
      </c>
      <c r="AB204" s="116">
        <f ca="1">IFERROR(SUMIF('nres bld data'!$V$3:$V$254,"="&amp;$B204&amp;$C204&amp;$D204,'nres bld data'!Q$3:Q$254)/SUMIF('nres bld data'!$W$256:$W$297,"="&amp;$B204&amp;$C204,'nres bld data'!Q$256:Q$297),0)</f>
        <v>0</v>
      </c>
    </row>
    <row r="205" spans="2:28">
      <c r="B205" s="20" t="s">
        <v>10</v>
      </c>
      <c r="C205" s="20" t="s">
        <v>461</v>
      </c>
      <c r="D205" s="20" t="s">
        <v>443</v>
      </c>
      <c r="E205" s="55">
        <f t="shared" ca="1" si="0"/>
        <v>0</v>
      </c>
      <c r="F205" s="55">
        <f t="shared" ca="1" si="1"/>
        <v>0</v>
      </c>
      <c r="G205" s="21">
        <f>IFERROR(SUMIF('nres bld data'!$A$3:$A$38,B205&amp;C205,'nres bld data'!$D$3:$D$38),0)</f>
        <v>0</v>
      </c>
      <c r="H205" s="21">
        <f t="shared" ref="H205:I205" ca="1" si="209">$T205*U205</f>
        <v>0</v>
      </c>
      <c r="I205" s="21">
        <f t="shared" ca="1" si="209"/>
        <v>0</v>
      </c>
      <c r="J205" s="21"/>
      <c r="K205" s="21"/>
      <c r="S205" s="115"/>
      <c r="T205" s="22">
        <f ca="1">G205/SUMIF('nres bld data'!$B$3:$B$38,$B205,'nres bld data'!$D$3:$D$38)</f>
        <v>0</v>
      </c>
      <c r="U205" s="21">
        <f>SUMIFS('Projections by County'!$D$10:$D$36,'Projections by County'!$A$10:$A$36,$B205,'Projections by County'!$C$10:$C$36,"Electricity (kWh)",'Projections by County'!$B$10:$B$36,"Commercial")*BTU_per_kWh/1000000</f>
        <v>8748576.3686132394</v>
      </c>
      <c r="V205" s="21">
        <f>SUMIFS('Projections by County'!$D$10:$D$36,'Projections by County'!$A$10:$A$36,$B205,'Projections by County'!$C$10:$C$36,"Natural Gas",'Projections by County'!$B$10:$B$36,"Commercial")</f>
        <v>9705752.7609999999</v>
      </c>
      <c r="W205" s="116"/>
      <c r="X205" s="116">
        <f>IFERROR(SUMIF('nres bld data'!$V$3:$V$254,"="&amp;$B205&amp;$C205&amp;$D205,'nres bld data'!P$3:P$254)/SUMIF('nres bld data'!$V$3:$V$254,"="&amp;$B205&amp;$C205&amp;$D205,'nres bld data'!$T$3:$T$254),0)</f>
        <v>9.1828836370978759E-2</v>
      </c>
      <c r="Y205" s="116">
        <f>IFERROR(SUMIF('nres bld data'!$V$3:$V$254,"="&amp;$B205&amp;$C205&amp;$D205,'nres bld data'!Q$3:Q$254)/SUMIF('nres bld data'!$V$3:$V$254,"="&amp;$B205&amp;$C205&amp;$D205,'nres bld data'!$T$3:$T$254),0)</f>
        <v>0.90817116362902117</v>
      </c>
      <c r="AA205" s="116">
        <f ca="1">IFERROR(SUMIF('nres bld data'!$V$3:$V$254,"="&amp;$B205&amp;$C205&amp;$D205,'nres bld data'!P$3:P$254)/SUMIF('nres bld data'!$W$256:$W$297,"="&amp;$B205&amp;$C205,'nres bld data'!P$256:P$297),0)</f>
        <v>2.5370810999049743E-2</v>
      </c>
      <c r="AB205" s="116">
        <f ca="1">IFERROR(SUMIF('nres bld data'!$V$3:$V$254,"="&amp;$B205&amp;$C205&amp;$D205,'nres bld data'!Q$3:Q$254)/SUMIF('nres bld data'!$W$256:$W$297,"="&amp;$B205&amp;$C205,'nres bld data'!Q$256:Q$297),0)</f>
        <v>0.72489323046757581</v>
      </c>
    </row>
    <row r="206" spans="2:28">
      <c r="B206" s="20" t="s">
        <v>10</v>
      </c>
      <c r="C206" s="20" t="s">
        <v>461</v>
      </c>
      <c r="D206" s="20" t="s">
        <v>445</v>
      </c>
      <c r="E206" s="55">
        <f t="shared" ca="1" si="0"/>
        <v>0</v>
      </c>
      <c r="F206" s="55">
        <f t="shared" ca="1" si="1"/>
        <v>0</v>
      </c>
      <c r="G206" s="21">
        <f>IFERROR(SUMIF('nres bld data'!$A$3:$A$38,B206&amp;C206,'nres bld data'!$D$3:$D$38),0)</f>
        <v>0</v>
      </c>
      <c r="H206" s="21">
        <f t="shared" ref="H206:I206" ca="1" si="210">$T206*U206</f>
        <v>0</v>
      </c>
      <c r="I206" s="21">
        <f t="shared" ca="1" si="210"/>
        <v>0</v>
      </c>
      <c r="J206" s="21"/>
      <c r="K206" s="21"/>
      <c r="S206" s="115"/>
      <c r="T206" s="22">
        <f ca="1">G206/SUMIF('nres bld data'!$B$3:$B$38,$B206,'nres bld data'!$D$3:$D$38)</f>
        <v>0</v>
      </c>
      <c r="U206" s="21">
        <f>SUMIFS('Projections by County'!$D$10:$D$36,'Projections by County'!$A$10:$A$36,$B206,'Projections by County'!$C$10:$C$36,"Electricity (kWh)",'Projections by County'!$B$10:$B$36,"Commercial")*BTU_per_kWh/1000000</f>
        <v>8748576.3686132394</v>
      </c>
      <c r="V206" s="21">
        <f>SUMIFS('Projections by County'!$D$10:$D$36,'Projections by County'!$A$10:$A$36,$B206,'Projections by County'!$C$10:$C$36,"Natural Gas",'Projections by County'!$B$10:$B$36,"Commercial")</f>
        <v>9705752.7609999999</v>
      </c>
      <c r="W206" s="116"/>
      <c r="X206" s="116">
        <f>IFERROR(SUMIF('nres bld data'!$V$3:$V$254,"="&amp;$B206&amp;$C206&amp;$D206,'nres bld data'!P$3:P$254)/SUMIF('nres bld data'!$V$3:$V$254,"="&amp;$B206&amp;$C206&amp;$D206,'nres bld data'!$T$3:$T$254),0)</f>
        <v>0.21290336976730778</v>
      </c>
      <c r="Y206" s="116">
        <f>IFERROR(SUMIF('nres bld data'!$V$3:$V$254,"="&amp;$B206&amp;$C206&amp;$D206,'nres bld data'!Q$3:Q$254)/SUMIF('nres bld data'!$V$3:$V$254,"="&amp;$B206&amp;$C206&amp;$D206,'nres bld data'!$T$3:$T$254),0)</f>
        <v>0.78709663023269216</v>
      </c>
      <c r="AA206" s="116">
        <f ca="1">IFERROR(SUMIF('nres bld data'!$V$3:$V$254,"="&amp;$B206&amp;$C206&amp;$D206,'nres bld data'!P$3:P$254)/SUMIF('nres bld data'!$W$256:$W$297,"="&amp;$B206&amp;$C206,'nres bld data'!P$256:P$297),0)</f>
        <v>7.4030760496437394E-3</v>
      </c>
      <c r="AB206" s="116">
        <f ca="1">IFERROR(SUMIF('nres bld data'!$V$3:$V$254,"="&amp;$B206&amp;$C206&amp;$D206,'nres bld data'!Q$3:Q$254)/SUMIF('nres bld data'!$W$256:$W$297,"="&amp;$B206&amp;$C206,'nres bld data'!Q$256:Q$297),0)</f>
        <v>7.90694641456203E-2</v>
      </c>
    </row>
    <row r="207" spans="2:28">
      <c r="B207" s="20" t="s">
        <v>10</v>
      </c>
      <c r="C207" s="20" t="s">
        <v>446</v>
      </c>
      <c r="D207" s="20" t="s">
        <v>429</v>
      </c>
      <c r="E207" s="55">
        <f t="shared" ca="1" si="0"/>
        <v>3.4549292712659223E-3</v>
      </c>
      <c r="F207" s="55">
        <f t="shared" ca="1" si="1"/>
        <v>3.971456925869578E-3</v>
      </c>
      <c r="G207" s="21">
        <f ca="1">IFERROR(SUMIF('nres bld data'!$A$3:$A$38,B207&amp;C207,'nres bld data'!$D$3:$D$38),0)</f>
        <v>31099511</v>
      </c>
      <c r="H207" s="21">
        <f t="shared" ref="H207:I207" ca="1" si="211">$T207*U207</f>
        <v>1330367.4296629569</v>
      </c>
      <c r="I207" s="21">
        <f t="shared" ca="1" si="211"/>
        <v>1475922.1168737956</v>
      </c>
      <c r="J207" s="21"/>
      <c r="K207" s="21"/>
      <c r="S207" s="115"/>
      <c r="T207" s="22">
        <f ca="1">G207/SUMIF('nres bld data'!$B$3:$B$38,$B207,'nres bld data'!$D$3:$D$38)</f>
        <v>0.15206673332998943</v>
      </c>
      <c r="U207" s="21">
        <f>SUMIFS('Projections by County'!$D$10:$D$36,'Projections by County'!$A$10:$A$36,$B207,'Projections by County'!$C$10:$C$36,"Electricity (kWh)",'Projections by County'!$B$10:$B$36,"Commercial")*BTU_per_kWh/1000000</f>
        <v>8748576.3686132394</v>
      </c>
      <c r="V207" s="21">
        <f>SUMIFS('Projections by County'!$D$10:$D$36,'Projections by County'!$A$10:$A$36,$B207,'Projections by County'!$C$10:$C$36,"Natural Gas",'Projections by County'!$B$10:$B$36,"Commercial")</f>
        <v>9705752.7609999999</v>
      </c>
      <c r="W207" s="116"/>
      <c r="X207" s="116">
        <f>IFERROR(SUMIF('nres bld data'!$V$3:$V$254,"="&amp;$B207&amp;$C207&amp;$D207,'nres bld data'!P$3:P$254)/SUMIF('nres bld data'!$V$3:$V$254,"="&amp;$B207&amp;$C207&amp;$D207,'nres bld data'!$T$3:$T$254),0)</f>
        <v>0.45010453691784313</v>
      </c>
      <c r="Y207" s="116">
        <f>IFERROR(SUMIF('nres bld data'!$V$3:$V$254,"="&amp;$B207&amp;$C207&amp;$D207,'nres bld data'!Q$3:Q$254)/SUMIF('nres bld data'!$V$3:$V$254,"="&amp;$B207&amp;$C207&amp;$D207,'nres bld data'!$T$3:$T$254),0)</f>
        <v>0.54989546308215698</v>
      </c>
      <c r="AA207" s="116">
        <f ca="1">IFERROR(SUMIF('nres bld data'!$V$3:$V$254,"="&amp;$B207&amp;$C207&amp;$D207,'nres bld data'!P$3:P$254)/SUMIF('nres bld data'!$W$256:$W$297,"="&amp;$B207&amp;$C207,'nres bld data'!P$256:P$297),0)</f>
        <v>8.076461320402116E-2</v>
      </c>
      <c r="AB207" s="116">
        <f ca="1">IFERROR(SUMIF('nres bld data'!$V$3:$V$254,"="&amp;$B207&amp;$C207&amp;$D207,'nres bld data'!Q$3:Q$254)/SUMIF('nres bld data'!$W$256:$W$297,"="&amp;$B207&amp;$C207,'nres bld data'!Q$256:Q$297),0)</f>
        <v>8.3683527023579632E-2</v>
      </c>
    </row>
    <row r="208" spans="2:28">
      <c r="B208" s="20" t="s">
        <v>10</v>
      </c>
      <c r="C208" s="20" t="s">
        <v>446</v>
      </c>
      <c r="D208" s="20" t="s">
        <v>433</v>
      </c>
      <c r="E208" s="55">
        <f t="shared" ca="1" si="0"/>
        <v>1.5502033074841746E-2</v>
      </c>
      <c r="F208" s="55">
        <f t="shared" ca="1" si="1"/>
        <v>0</v>
      </c>
      <c r="G208" s="21">
        <f ca="1">IFERROR(SUMIF('nres bld data'!$A$3:$A$38,B208&amp;C208,'nres bld data'!$D$3:$D$38),0)</f>
        <v>31099511</v>
      </c>
      <c r="H208" s="21">
        <f t="shared" ref="H208:I208" ca="1" si="212">$T208*U208</f>
        <v>1330367.4296629569</v>
      </c>
      <c r="I208" s="21">
        <f t="shared" ca="1" si="212"/>
        <v>1475922.1168737956</v>
      </c>
      <c r="J208" s="21"/>
      <c r="K208" s="21"/>
      <c r="S208" s="115"/>
      <c r="T208" s="22">
        <f ca="1">G208/SUMIF('nres bld data'!$B$3:$B$38,$B208,'nres bld data'!$D$3:$D$38)</f>
        <v>0.15206673332998943</v>
      </c>
      <c r="U208" s="21">
        <f>SUMIFS('Projections by County'!$D$10:$D$36,'Projections by County'!$A$10:$A$36,$B208,'Projections by County'!$C$10:$C$36,"Electricity (kWh)",'Projections by County'!$B$10:$B$36,"Commercial")*BTU_per_kWh/1000000</f>
        <v>8748576.3686132394</v>
      </c>
      <c r="V208" s="21">
        <f>SUMIFS('Projections by County'!$D$10:$D$36,'Projections by County'!$A$10:$A$36,$B208,'Projections by County'!$C$10:$C$36,"Natural Gas",'Projections by County'!$B$10:$B$36,"Commercial")</f>
        <v>9705752.7609999999</v>
      </c>
      <c r="W208" s="116"/>
      <c r="X208" s="116">
        <f>IFERROR(SUMIF('nres bld data'!$V$3:$V$254,"="&amp;$B208&amp;$C208&amp;$D208,'nres bld data'!P$3:P$254)/SUMIF('nres bld data'!$V$3:$V$254,"="&amp;$B208&amp;$C208&amp;$D208,'nres bld data'!$T$3:$T$254),0)</f>
        <v>1</v>
      </c>
      <c r="Y208" s="116">
        <f>IFERROR(SUMIF('nres bld data'!$V$3:$V$254,"="&amp;$B208&amp;$C208&amp;$D208,'nres bld data'!Q$3:Q$254)/SUMIF('nres bld data'!$V$3:$V$254,"="&amp;$B208&amp;$C208&amp;$D208,'nres bld data'!$T$3:$T$254),0)</f>
        <v>0</v>
      </c>
      <c r="AA208" s="116">
        <f ca="1">IFERROR(SUMIF('nres bld data'!$V$3:$V$254,"="&amp;$B208&amp;$C208&amp;$D208,'nres bld data'!P$3:P$254)/SUMIF('nres bld data'!$W$256:$W$297,"="&amp;$B208&amp;$C208,'nres bld data'!P$256:P$297),0)</f>
        <v>0.36238533609887319</v>
      </c>
      <c r="AB208" s="116">
        <f ca="1">IFERROR(SUMIF('nres bld data'!$V$3:$V$254,"="&amp;$B208&amp;$C208&amp;$D208,'nres bld data'!Q$3:Q$254)/SUMIF('nres bld data'!$W$256:$W$297,"="&amp;$B208&amp;$C208,'nres bld data'!Q$256:Q$297),0)</f>
        <v>0</v>
      </c>
    </row>
    <row r="209" spans="2:28">
      <c r="B209" s="20" t="s">
        <v>10</v>
      </c>
      <c r="C209" s="20" t="s">
        <v>446</v>
      </c>
      <c r="D209" s="20" t="s">
        <v>437</v>
      </c>
      <c r="E209" s="55">
        <f t="shared" ca="1" si="0"/>
        <v>1.2316464079639659E-2</v>
      </c>
      <c r="F209" s="55">
        <f t="shared" ca="1" si="1"/>
        <v>0</v>
      </c>
      <c r="G209" s="21">
        <f ca="1">IFERROR(SUMIF('nres bld data'!$A$3:$A$38,B209&amp;C209,'nres bld data'!$D$3:$D$38),0)</f>
        <v>31099511</v>
      </c>
      <c r="H209" s="21">
        <f t="shared" ref="H209:I209" ca="1" si="213">$T209*U209</f>
        <v>1330367.4296629569</v>
      </c>
      <c r="I209" s="21">
        <f t="shared" ca="1" si="213"/>
        <v>1475922.1168737956</v>
      </c>
      <c r="J209" s="21"/>
      <c r="K209" s="21"/>
      <c r="S209" s="115"/>
      <c r="T209" s="22">
        <f ca="1">G209/SUMIF('nres bld data'!$B$3:$B$38,$B209,'nres bld data'!$D$3:$D$38)</f>
        <v>0.15206673332998943</v>
      </c>
      <c r="U209" s="21">
        <f>SUMIFS('Projections by County'!$D$10:$D$36,'Projections by County'!$A$10:$A$36,$B209,'Projections by County'!$C$10:$C$36,"Electricity (kWh)",'Projections by County'!$B$10:$B$36,"Commercial")*BTU_per_kWh/1000000</f>
        <v>8748576.3686132394</v>
      </c>
      <c r="V209" s="21">
        <f>SUMIFS('Projections by County'!$D$10:$D$36,'Projections by County'!$A$10:$A$36,$B209,'Projections by County'!$C$10:$C$36,"Natural Gas",'Projections by County'!$B$10:$B$36,"Commercial")</f>
        <v>9705752.7609999999</v>
      </c>
      <c r="W209" s="116"/>
      <c r="X209" s="116">
        <f>IFERROR(SUMIF('nres bld data'!$V$3:$V$254,"="&amp;$B209&amp;$C209&amp;$D209,'nres bld data'!P$3:P$254)/SUMIF('nres bld data'!$V$3:$V$254,"="&amp;$B209&amp;$C209&amp;$D209,'nres bld data'!$T$3:$T$254),0)</f>
        <v>1</v>
      </c>
      <c r="Y209" s="116">
        <f>IFERROR(SUMIF('nres bld data'!$V$3:$V$254,"="&amp;$B209&amp;$C209&amp;$D209,'nres bld data'!Q$3:Q$254)/SUMIF('nres bld data'!$V$3:$V$254,"="&amp;$B209&amp;$C209&amp;$D209,'nres bld data'!$T$3:$T$254),0)</f>
        <v>0</v>
      </c>
      <c r="AA209" s="116">
        <f ca="1">IFERROR(SUMIF('nres bld data'!$V$3:$V$254,"="&amp;$B209&amp;$C209&amp;$D209,'nres bld data'!P$3:P$254)/SUMIF('nres bld data'!$W$256:$W$297,"="&amp;$B209&amp;$C209,'nres bld data'!P$256:P$297),0)</f>
        <v>0.28791745918110684</v>
      </c>
      <c r="AB209" s="116">
        <f ca="1">IFERROR(SUMIF('nres bld data'!$V$3:$V$254,"="&amp;$B209&amp;$C209&amp;$D209,'nres bld data'!Q$3:Q$254)/SUMIF('nres bld data'!$W$256:$W$297,"="&amp;$B209&amp;$C209,'nres bld data'!Q$256:Q$297),0)</f>
        <v>0</v>
      </c>
    </row>
    <row r="210" spans="2:28">
      <c r="B210" s="20" t="s">
        <v>10</v>
      </c>
      <c r="C210" s="20" t="s">
        <v>446</v>
      </c>
      <c r="D210" s="20" t="s">
        <v>440</v>
      </c>
      <c r="E210" s="55">
        <f t="shared" ca="1" si="0"/>
        <v>5.5108671052493197E-3</v>
      </c>
      <c r="F210" s="55">
        <f t="shared" ca="1" si="1"/>
        <v>0</v>
      </c>
      <c r="G210" s="21">
        <f ca="1">IFERROR(SUMIF('nres bld data'!$A$3:$A$38,B210&amp;C210,'nres bld data'!$D$3:$D$38),0)</f>
        <v>31099511</v>
      </c>
      <c r="H210" s="21">
        <f t="shared" ref="H210:I210" ca="1" si="214">$T210*U210</f>
        <v>1330367.4296629569</v>
      </c>
      <c r="I210" s="21">
        <f t="shared" ca="1" si="214"/>
        <v>1475922.1168737956</v>
      </c>
      <c r="J210" s="21"/>
      <c r="K210" s="21"/>
      <c r="S210" s="115"/>
      <c r="T210" s="22">
        <f ca="1">G210/SUMIF('nres bld data'!$B$3:$B$38,$B210,'nres bld data'!$D$3:$D$38)</f>
        <v>0.15206673332998943</v>
      </c>
      <c r="U210" s="21">
        <f>SUMIFS('Projections by County'!$D$10:$D$36,'Projections by County'!$A$10:$A$36,$B210,'Projections by County'!$C$10:$C$36,"Electricity (kWh)",'Projections by County'!$B$10:$B$36,"Commercial")*BTU_per_kWh/1000000</f>
        <v>8748576.3686132394</v>
      </c>
      <c r="V210" s="21">
        <f>SUMIFS('Projections by County'!$D$10:$D$36,'Projections by County'!$A$10:$A$36,$B210,'Projections by County'!$C$10:$C$36,"Natural Gas",'Projections by County'!$B$10:$B$36,"Commercial")</f>
        <v>9705752.7609999999</v>
      </c>
      <c r="W210" s="116"/>
      <c r="X210" s="116">
        <f>IFERROR(SUMIF('nres bld data'!$V$3:$V$254,"="&amp;$B210&amp;$C210&amp;$D210,'nres bld data'!P$3:P$254)/SUMIF('nres bld data'!$V$3:$V$254,"="&amp;$B210&amp;$C210&amp;$D210,'nres bld data'!$T$3:$T$254),0)</f>
        <v>1</v>
      </c>
      <c r="Y210" s="116">
        <f>IFERROR(SUMIF('nres bld data'!$V$3:$V$254,"="&amp;$B210&amp;$C210&amp;$D210,'nres bld data'!Q$3:Q$254)/SUMIF('nres bld data'!$V$3:$V$254,"="&amp;$B210&amp;$C210&amp;$D210,'nres bld data'!$T$3:$T$254),0)</f>
        <v>0</v>
      </c>
      <c r="AA210" s="116">
        <f ca="1">IFERROR(SUMIF('nres bld data'!$V$3:$V$254,"="&amp;$B210&amp;$C210&amp;$D210,'nres bld data'!P$3:P$254)/SUMIF('nres bld data'!$W$256:$W$297,"="&amp;$B210&amp;$C210,'nres bld data'!P$256:P$297),0)</f>
        <v>0.12882551717510035</v>
      </c>
      <c r="AB210" s="116">
        <f ca="1">IFERROR(SUMIF('nres bld data'!$V$3:$V$254,"="&amp;$B210&amp;$C210&amp;$D210,'nres bld data'!Q$3:Q$254)/SUMIF('nres bld data'!$W$256:$W$297,"="&amp;$B210&amp;$C210,'nres bld data'!Q$256:Q$297),0)</f>
        <v>0</v>
      </c>
    </row>
    <row r="211" spans="2:28">
      <c r="B211" s="20" t="s">
        <v>10</v>
      </c>
      <c r="C211" s="20" t="s">
        <v>446</v>
      </c>
      <c r="D211" s="20" t="s">
        <v>443</v>
      </c>
      <c r="E211" s="55">
        <f t="shared" ca="1" si="0"/>
        <v>3.2756633978721817E-3</v>
      </c>
      <c r="F211" s="55">
        <f t="shared" ca="1" si="1"/>
        <v>4.1118303332778036E-2</v>
      </c>
      <c r="G211" s="21">
        <f ca="1">IFERROR(SUMIF('nres bld data'!$A$3:$A$38,B211&amp;C211,'nres bld data'!$D$3:$D$38),0)</f>
        <v>31099511</v>
      </c>
      <c r="H211" s="21">
        <f t="shared" ref="H211:I211" ca="1" si="215">$T211*U211</f>
        <v>1330367.4296629569</v>
      </c>
      <c r="I211" s="21">
        <f t="shared" ca="1" si="215"/>
        <v>1475922.1168737956</v>
      </c>
      <c r="J211" s="21"/>
      <c r="K211" s="21"/>
      <c r="S211" s="115"/>
      <c r="T211" s="22">
        <f ca="1">G211/SUMIF('nres bld data'!$B$3:$B$38,$B211,'nres bld data'!$D$3:$D$38)</f>
        <v>0.15206673332998943</v>
      </c>
      <c r="U211" s="21">
        <f>SUMIFS('Projections by County'!$D$10:$D$36,'Projections by County'!$A$10:$A$36,$B211,'Projections by County'!$C$10:$C$36,"Electricity (kWh)",'Projections by County'!$B$10:$B$36,"Commercial")*BTU_per_kWh/1000000</f>
        <v>8748576.3686132394</v>
      </c>
      <c r="V211" s="21">
        <f>SUMIFS('Projections by County'!$D$10:$D$36,'Projections by County'!$A$10:$A$36,$B211,'Projections by County'!$C$10:$C$36,"Natural Gas",'Projections by County'!$B$10:$B$36,"Commercial")</f>
        <v>9705752.7609999999</v>
      </c>
      <c r="W211" s="116"/>
      <c r="X211" s="116">
        <f>IFERROR(SUMIF('nres bld data'!$V$3:$V$254,"="&amp;$B211&amp;$C211&amp;$D211,'nres bld data'!P$3:P$254)/SUMIF('nres bld data'!$V$3:$V$254,"="&amp;$B211&amp;$C211&amp;$D211,'nres bld data'!$T$3:$T$254),0)</f>
        <v>6.9729608970079057E-2</v>
      </c>
      <c r="Y211" s="116">
        <f>IFERROR(SUMIF('nres bld data'!$V$3:$V$254,"="&amp;$B211&amp;$C211&amp;$D211,'nres bld data'!Q$3:Q$254)/SUMIF('nres bld data'!$V$3:$V$254,"="&amp;$B211&amp;$C211&amp;$D211,'nres bld data'!$T$3:$T$254),0)</f>
        <v>0.93027039102992104</v>
      </c>
      <c r="AA211" s="116">
        <f ca="1">IFERROR(SUMIF('nres bld data'!$V$3:$V$254,"="&amp;$B211&amp;$C211&amp;$D211,'nres bld data'!P$3:P$254)/SUMIF('nres bld data'!$W$256:$W$297,"="&amp;$B211&amp;$C211,'nres bld data'!P$256:P$297),0)</f>
        <v>7.6573980693613361E-2</v>
      </c>
      <c r="AB211" s="116">
        <f ca="1">IFERROR(SUMIF('nres bld data'!$V$3:$V$254,"="&amp;$B211&amp;$C211&amp;$D211,'nres bld data'!Q$3:Q$254)/SUMIF('nres bld data'!$W$256:$W$297,"="&amp;$B211&amp;$C211,'nres bld data'!Q$256:Q$297),0)</f>
        <v>0.86641368957032328</v>
      </c>
    </row>
    <row r="212" spans="2:28">
      <c r="B212" s="20" t="s">
        <v>10</v>
      </c>
      <c r="C212" s="20" t="s">
        <v>446</v>
      </c>
      <c r="D212" s="20" t="s">
        <v>445</v>
      </c>
      <c r="E212" s="55">
        <f t="shared" ca="1" si="0"/>
        <v>2.7178034565905054E-3</v>
      </c>
      <c r="F212" s="55">
        <f t="shared" ca="1" si="1"/>
        <v>2.3682887400583684E-3</v>
      </c>
      <c r="G212" s="21">
        <f ca="1">IFERROR(SUMIF('nres bld data'!$A$3:$A$38,B212&amp;C212,'nres bld data'!$D$3:$D$38),0)</f>
        <v>31099511</v>
      </c>
      <c r="H212" s="21">
        <f t="shared" ref="H212:I212" ca="1" si="216">$T212*U212</f>
        <v>1330367.4296629569</v>
      </c>
      <c r="I212" s="21">
        <f t="shared" ca="1" si="216"/>
        <v>1475922.1168737956</v>
      </c>
      <c r="J212" s="21"/>
      <c r="K212" s="21"/>
      <c r="S212" s="115"/>
      <c r="T212" s="22">
        <f ca="1">G212/SUMIF('nres bld data'!$B$3:$B$38,$B212,'nres bld data'!$D$3:$D$38)</f>
        <v>0.15206673332998943</v>
      </c>
      <c r="U212" s="21">
        <f>SUMIFS('Projections by County'!$D$10:$D$36,'Projections by County'!$A$10:$A$36,$B212,'Projections by County'!$C$10:$C$36,"Electricity (kWh)",'Projections by County'!$B$10:$B$36,"Commercial")*BTU_per_kWh/1000000</f>
        <v>8748576.3686132394</v>
      </c>
      <c r="V212" s="21">
        <f>SUMIFS('Projections by County'!$D$10:$D$36,'Projections by County'!$A$10:$A$36,$B212,'Projections by County'!$C$10:$C$36,"Natural Gas",'Projections by County'!$B$10:$B$36,"Commercial")</f>
        <v>9705752.7609999999</v>
      </c>
      <c r="W212" s="116"/>
      <c r="X212" s="116">
        <f>IFERROR(SUMIF('nres bld data'!$V$3:$V$254,"="&amp;$B212&amp;$C212&amp;$D212,'nres bld data'!P$3:P$254)/SUMIF('nres bld data'!$V$3:$V$254,"="&amp;$B212&amp;$C212&amp;$D212,'nres bld data'!$T$3:$T$254),0)</f>
        <v>0.46386825059614401</v>
      </c>
      <c r="Y212" s="116">
        <f>IFERROR(SUMIF('nres bld data'!$V$3:$V$254,"="&amp;$B212&amp;$C212&amp;$D212,'nres bld data'!Q$3:Q$254)/SUMIF('nres bld data'!$V$3:$V$254,"="&amp;$B212&amp;$C212&amp;$D212,'nres bld data'!$T$3:$T$254),0)</f>
        <v>0.42960299681081515</v>
      </c>
      <c r="AA212" s="116">
        <f ca="1">IFERROR(SUMIF('nres bld data'!$V$3:$V$254,"="&amp;$B212&amp;$C212&amp;$D212,'nres bld data'!P$3:P$254)/SUMIF('nres bld data'!$W$256:$W$297,"="&amp;$B212&amp;$C212,'nres bld data'!P$256:P$297),0)</f>
        <v>6.3533093647284974E-2</v>
      </c>
      <c r="AB212" s="116">
        <f ca="1">IFERROR(SUMIF('nres bld data'!$V$3:$V$254,"="&amp;$B212&amp;$C212&amp;$D212,'nres bld data'!Q$3:Q$254)/SUMIF('nres bld data'!$W$256:$W$297,"="&amp;$B212&amp;$C212,'nres bld data'!Q$256:Q$297),0)</f>
        <v>4.9902783406097106E-2</v>
      </c>
    </row>
    <row r="213" spans="2:28">
      <c r="B213" s="20" t="s">
        <v>10</v>
      </c>
      <c r="C213" s="20" t="s">
        <v>457</v>
      </c>
      <c r="D213" s="20" t="s">
        <v>429</v>
      </c>
      <c r="E213" s="55">
        <f t="shared" ca="1" si="0"/>
        <v>1.3417967940917978E-2</v>
      </c>
      <c r="F213" s="55">
        <f t="shared" ca="1" si="1"/>
        <v>2.8620271320747442E-2</v>
      </c>
      <c r="G213" s="21">
        <f ca="1">IFERROR(SUMIF('nres bld data'!$A$3:$A$38,B213&amp;C213,'nres bld data'!$D$3:$D$38),0)</f>
        <v>617494</v>
      </c>
      <c r="H213" s="21">
        <f t="shared" ref="H213:I213" ca="1" si="217">$T213*U213</f>
        <v>26415.010371458829</v>
      </c>
      <c r="I213" s="21">
        <f t="shared" ca="1" si="217"/>
        <v>29305.060508406954</v>
      </c>
      <c r="J213" s="21"/>
      <c r="K213" s="21"/>
      <c r="S213" s="115"/>
      <c r="T213" s="22">
        <f ca="1">G213/SUMIF('nres bld data'!$B$3:$B$38,$B213,'nres bld data'!$D$3:$D$38)</f>
        <v>3.019349578547023E-3</v>
      </c>
      <c r="U213" s="21">
        <f>SUMIFS('Projections by County'!$D$10:$D$36,'Projections by County'!$A$10:$A$36,$B213,'Projections by County'!$C$10:$C$36,"Electricity (kWh)",'Projections by County'!$B$10:$B$36,"Commercial")*BTU_per_kWh/1000000</f>
        <v>8748576.3686132394</v>
      </c>
      <c r="V213" s="21">
        <f>SUMIFS('Projections by County'!$D$10:$D$36,'Projections by County'!$A$10:$A$36,$B213,'Projections by County'!$C$10:$C$36,"Natural Gas",'Projections by County'!$B$10:$B$36,"Commercial")</f>
        <v>9705752.7609999999</v>
      </c>
      <c r="W213" s="116"/>
      <c r="X213" s="116">
        <f>IFERROR(SUMIF('nres bld data'!$V$3:$V$254,"="&amp;$B213&amp;$C213&amp;$D213,'nres bld data'!P$3:P$254)/SUMIF('nres bld data'!$V$3:$V$254,"="&amp;$B213&amp;$C213&amp;$D213,'nres bld data'!$T$3:$T$254),0)</f>
        <v>0.19083255645678693</v>
      </c>
      <c r="Y213" s="116">
        <f>IFERROR(SUMIF('nres bld data'!$V$3:$V$254,"="&amp;$B213&amp;$C213&amp;$D213,'nres bld data'!Q$3:Q$254)/SUMIF('nres bld data'!$V$3:$V$254,"="&amp;$B213&amp;$C213&amp;$D213,'nres bld data'!$T$3:$T$254),0)</f>
        <v>0.80916744354321302</v>
      </c>
      <c r="AA213" s="116">
        <f ca="1">IFERROR(SUMIF('nres bld data'!$V$3:$V$254,"="&amp;$B213&amp;$C213&amp;$D213,'nres bld data'!P$3:P$254)/SUMIF('nres bld data'!$W$256:$W$297,"="&amp;$B213&amp;$C213,'nres bld data'!P$256:P$297),0)</f>
        <v>0.31366691056315565</v>
      </c>
      <c r="AB213" s="116">
        <f ca="1">IFERROR(SUMIF('nres bld data'!$V$3:$V$254,"="&amp;$B213&amp;$C213&amp;$D213,'nres bld data'!Q$3:Q$254)/SUMIF('nres bld data'!$W$256:$W$297,"="&amp;$B213&amp;$C213,'nres bld data'!Q$256:Q$297),0)</f>
        <v>0.60306464181719344</v>
      </c>
    </row>
    <row r="214" spans="2:28">
      <c r="B214" s="20" t="s">
        <v>10</v>
      </c>
      <c r="C214" s="20" t="s">
        <v>457</v>
      </c>
      <c r="D214" s="20" t="s">
        <v>433</v>
      </c>
      <c r="E214" s="55">
        <f t="shared" ca="1" si="0"/>
        <v>1.5146242511206044E-2</v>
      </c>
      <c r="F214" s="55">
        <f t="shared" ca="1" si="1"/>
        <v>0</v>
      </c>
      <c r="G214" s="21">
        <f ca="1">IFERROR(SUMIF('nres bld data'!$A$3:$A$38,B214&amp;C214,'nres bld data'!$D$3:$D$38),0)</f>
        <v>617494</v>
      </c>
      <c r="H214" s="21">
        <f t="shared" ref="H214:I214" ca="1" si="218">$T214*U214</f>
        <v>26415.010371458829</v>
      </c>
      <c r="I214" s="21">
        <f t="shared" ca="1" si="218"/>
        <v>29305.060508406954</v>
      </c>
      <c r="J214" s="21"/>
      <c r="K214" s="21"/>
      <c r="S214" s="115"/>
      <c r="T214" s="22">
        <f ca="1">G214/SUMIF('nres bld data'!$B$3:$B$38,$B214,'nres bld data'!$D$3:$D$38)</f>
        <v>3.019349578547023E-3</v>
      </c>
      <c r="U214" s="21">
        <f>SUMIFS('Projections by County'!$D$10:$D$36,'Projections by County'!$A$10:$A$36,$B214,'Projections by County'!$C$10:$C$36,"Electricity (kWh)",'Projections by County'!$B$10:$B$36,"Commercial")*BTU_per_kWh/1000000</f>
        <v>8748576.3686132394</v>
      </c>
      <c r="V214" s="21">
        <f>SUMIFS('Projections by County'!$D$10:$D$36,'Projections by County'!$A$10:$A$36,$B214,'Projections by County'!$C$10:$C$36,"Natural Gas",'Projections by County'!$B$10:$B$36,"Commercial")</f>
        <v>9705752.7609999999</v>
      </c>
      <c r="W214" s="116"/>
      <c r="X214" s="116">
        <f>IFERROR(SUMIF('nres bld data'!$V$3:$V$254,"="&amp;$B214&amp;$C214&amp;$D214,'nres bld data'!P$3:P$254)/SUMIF('nres bld data'!$V$3:$V$254,"="&amp;$B214&amp;$C214&amp;$D214,'nres bld data'!$T$3:$T$254),0)</f>
        <v>1</v>
      </c>
      <c r="Y214" s="116">
        <f>IFERROR(SUMIF('nres bld data'!$V$3:$V$254,"="&amp;$B214&amp;$C214&amp;$D214,'nres bld data'!Q$3:Q$254)/SUMIF('nres bld data'!$V$3:$V$254,"="&amp;$B214&amp;$C214&amp;$D214,'nres bld data'!$T$3:$T$254),0)</f>
        <v>0</v>
      </c>
      <c r="AA214" s="116">
        <f ca="1">IFERROR(SUMIF('nres bld data'!$V$3:$V$254,"="&amp;$B214&amp;$C214&amp;$D214,'nres bld data'!P$3:P$254)/SUMIF('nres bld data'!$W$256:$W$297,"="&amp;$B214&amp;$C214,'nres bld data'!P$256:P$297),0)</f>
        <v>0.35406815071025621</v>
      </c>
      <c r="AB214" s="116">
        <f ca="1">IFERROR(SUMIF('nres bld data'!$V$3:$V$254,"="&amp;$B214&amp;$C214&amp;$D214,'nres bld data'!Q$3:Q$254)/SUMIF('nres bld data'!$W$256:$W$297,"="&amp;$B214&amp;$C214,'nres bld data'!Q$256:Q$297),0)</f>
        <v>0</v>
      </c>
    </row>
    <row r="215" spans="2:28">
      <c r="B215" s="20" t="s">
        <v>10</v>
      </c>
      <c r="C215" s="20" t="s">
        <v>457</v>
      </c>
      <c r="D215" s="20" t="s">
        <v>437</v>
      </c>
      <c r="E215" s="55">
        <f t="shared" ca="1" si="0"/>
        <v>7.3088558506303955E-3</v>
      </c>
      <c r="F215" s="55">
        <f t="shared" ca="1" si="1"/>
        <v>0</v>
      </c>
      <c r="G215" s="21">
        <f ca="1">IFERROR(SUMIF('nres bld data'!$A$3:$A$38,B215&amp;C215,'nres bld data'!$D$3:$D$38),0)</f>
        <v>617494</v>
      </c>
      <c r="H215" s="21">
        <f t="shared" ref="H215:I215" ca="1" si="219">$T215*U215</f>
        <v>26415.010371458829</v>
      </c>
      <c r="I215" s="21">
        <f t="shared" ca="1" si="219"/>
        <v>29305.060508406954</v>
      </c>
      <c r="J215" s="21"/>
      <c r="K215" s="21"/>
      <c r="S215" s="115"/>
      <c r="T215" s="22">
        <f ca="1">G215/SUMIF('nres bld data'!$B$3:$B$38,$B215,'nres bld data'!$D$3:$D$38)</f>
        <v>3.019349578547023E-3</v>
      </c>
      <c r="U215" s="21">
        <f>SUMIFS('Projections by County'!$D$10:$D$36,'Projections by County'!$A$10:$A$36,$B215,'Projections by County'!$C$10:$C$36,"Electricity (kWh)",'Projections by County'!$B$10:$B$36,"Commercial")*BTU_per_kWh/1000000</f>
        <v>8748576.3686132394</v>
      </c>
      <c r="V215" s="21">
        <f>SUMIFS('Projections by County'!$D$10:$D$36,'Projections by County'!$A$10:$A$36,$B215,'Projections by County'!$C$10:$C$36,"Natural Gas",'Projections by County'!$B$10:$B$36,"Commercial")</f>
        <v>9705752.7609999999</v>
      </c>
      <c r="W215" s="116"/>
      <c r="X215" s="116">
        <f>IFERROR(SUMIF('nres bld data'!$V$3:$V$254,"="&amp;$B215&amp;$C215&amp;$D215,'nres bld data'!P$3:P$254)/SUMIF('nres bld data'!$V$3:$V$254,"="&amp;$B215&amp;$C215&amp;$D215,'nres bld data'!$T$3:$T$254),0)</f>
        <v>1</v>
      </c>
      <c r="Y215" s="116">
        <f>IFERROR(SUMIF('nres bld data'!$V$3:$V$254,"="&amp;$B215&amp;$C215&amp;$D215,'nres bld data'!Q$3:Q$254)/SUMIF('nres bld data'!$V$3:$V$254,"="&amp;$B215&amp;$C215&amp;$D215,'nres bld data'!$T$3:$T$254),0)</f>
        <v>0</v>
      </c>
      <c r="AA215" s="116">
        <f ca="1">IFERROR(SUMIF('nres bld data'!$V$3:$V$254,"="&amp;$B215&amp;$C215&amp;$D215,'nres bld data'!P$3:P$254)/SUMIF('nres bld data'!$W$256:$W$297,"="&amp;$B215&amp;$C215,'nres bld data'!P$256:P$297),0)</f>
        <v>0.17085643999994823</v>
      </c>
      <c r="AB215" s="116">
        <f ca="1">IFERROR(SUMIF('nres bld data'!$V$3:$V$254,"="&amp;$B215&amp;$C215&amp;$D215,'nres bld data'!Q$3:Q$254)/SUMIF('nres bld data'!$W$256:$W$297,"="&amp;$B215&amp;$C215,'nres bld data'!Q$256:Q$297),0)</f>
        <v>0</v>
      </c>
    </row>
    <row r="216" spans="2:28">
      <c r="B216" s="20" t="s">
        <v>10</v>
      </c>
      <c r="C216" s="20" t="s">
        <v>457</v>
      </c>
      <c r="D216" s="20" t="s">
        <v>440</v>
      </c>
      <c r="E216" s="55">
        <f t="shared" ca="1" si="0"/>
        <v>4.4873265422789898E-3</v>
      </c>
      <c r="F216" s="55">
        <f t="shared" ca="1" si="1"/>
        <v>0</v>
      </c>
      <c r="G216" s="21">
        <f ca="1">IFERROR(SUMIF('nres bld data'!$A$3:$A$38,B216&amp;C216,'nres bld data'!$D$3:$D$38),0)</f>
        <v>617494</v>
      </c>
      <c r="H216" s="21">
        <f t="shared" ref="H216:I216" ca="1" si="220">$T216*U216</f>
        <v>26415.010371458829</v>
      </c>
      <c r="I216" s="21">
        <f t="shared" ca="1" si="220"/>
        <v>29305.060508406954</v>
      </c>
      <c r="J216" s="21"/>
      <c r="K216" s="21"/>
      <c r="S216" s="115"/>
      <c r="T216" s="22">
        <f ca="1">G216/SUMIF('nres bld data'!$B$3:$B$38,$B216,'nres bld data'!$D$3:$D$38)</f>
        <v>3.019349578547023E-3</v>
      </c>
      <c r="U216" s="21">
        <f>SUMIFS('Projections by County'!$D$10:$D$36,'Projections by County'!$A$10:$A$36,$B216,'Projections by County'!$C$10:$C$36,"Electricity (kWh)",'Projections by County'!$B$10:$B$36,"Commercial")*BTU_per_kWh/1000000</f>
        <v>8748576.3686132394</v>
      </c>
      <c r="V216" s="21">
        <f>SUMIFS('Projections by County'!$D$10:$D$36,'Projections by County'!$A$10:$A$36,$B216,'Projections by County'!$C$10:$C$36,"Natural Gas",'Projections by County'!$B$10:$B$36,"Commercial")</f>
        <v>9705752.7609999999</v>
      </c>
      <c r="W216" s="116"/>
      <c r="X216" s="116">
        <f>IFERROR(SUMIF('nres bld data'!$V$3:$V$254,"="&amp;$B216&amp;$C216&amp;$D216,'nres bld data'!P$3:P$254)/SUMIF('nres bld data'!$V$3:$V$254,"="&amp;$B216&amp;$C216&amp;$D216,'nres bld data'!$T$3:$T$254),0)</f>
        <v>1</v>
      </c>
      <c r="Y216" s="116">
        <f>IFERROR(SUMIF('nres bld data'!$V$3:$V$254,"="&amp;$B216&amp;$C216&amp;$D216,'nres bld data'!Q$3:Q$254)/SUMIF('nres bld data'!$V$3:$V$254,"="&amp;$B216&amp;$C216&amp;$D216,'nres bld data'!$T$3:$T$254),0)</f>
        <v>0</v>
      </c>
      <c r="AA216" s="116">
        <f ca="1">IFERROR(SUMIF('nres bld data'!$V$3:$V$254,"="&amp;$B216&amp;$C216&amp;$D216,'nres bld data'!P$3:P$254)/SUMIF('nres bld data'!$W$256:$W$297,"="&amp;$B216&amp;$C216,'nres bld data'!P$256:P$297),0)</f>
        <v>0.10489858519578517</v>
      </c>
      <c r="AB216" s="116">
        <f ca="1">IFERROR(SUMIF('nres bld data'!$V$3:$V$254,"="&amp;$B216&amp;$C216&amp;$D216,'nres bld data'!Q$3:Q$254)/SUMIF('nres bld data'!$W$256:$W$297,"="&amp;$B216&amp;$C216,'nres bld data'!Q$256:Q$297),0)</f>
        <v>0</v>
      </c>
    </row>
    <row r="217" spans="2:28">
      <c r="B217" s="20" t="s">
        <v>10</v>
      </c>
      <c r="C217" s="20" t="s">
        <v>457</v>
      </c>
      <c r="D217" s="20" t="s">
        <v>443</v>
      </c>
      <c r="E217" s="55">
        <f t="shared" ca="1" si="0"/>
        <v>1.5735008917623942E-3</v>
      </c>
      <c r="F217" s="55">
        <f t="shared" ca="1" si="1"/>
        <v>1.5443628497501952E-2</v>
      </c>
      <c r="G217" s="21">
        <f ca="1">IFERROR(SUMIF('nres bld data'!$A$3:$A$38,B217&amp;C217,'nres bld data'!$D$3:$D$38),0)</f>
        <v>617494</v>
      </c>
      <c r="H217" s="21">
        <f t="shared" ref="H217:I217" ca="1" si="221">$T217*U217</f>
        <v>26415.010371458829</v>
      </c>
      <c r="I217" s="21">
        <f t="shared" ca="1" si="221"/>
        <v>29305.060508406954</v>
      </c>
      <c r="J217" s="21"/>
      <c r="K217" s="21"/>
      <c r="S217" s="115"/>
      <c r="T217" s="22">
        <f ca="1">G217/SUMIF('nres bld data'!$B$3:$B$38,$B217,'nres bld data'!$D$3:$D$38)</f>
        <v>3.019349578547023E-3</v>
      </c>
      <c r="U217" s="21">
        <f>SUMIFS('Projections by County'!$D$10:$D$36,'Projections by County'!$A$10:$A$36,$B217,'Projections by County'!$C$10:$C$36,"Electricity (kWh)",'Projections by County'!$B$10:$B$36,"Commercial")*BTU_per_kWh/1000000</f>
        <v>8748576.3686132394</v>
      </c>
      <c r="V217" s="21">
        <f>SUMIFS('Projections by County'!$D$10:$D$36,'Projections by County'!$A$10:$A$36,$B217,'Projections by County'!$C$10:$C$36,"Natural Gas",'Projections by County'!$B$10:$B$36,"Commercial")</f>
        <v>9705752.7609999999</v>
      </c>
      <c r="W217" s="116"/>
      <c r="X217" s="116">
        <f>IFERROR(SUMIF('nres bld data'!$V$3:$V$254,"="&amp;$B217&amp;$C217&amp;$D217,'nres bld data'!P$3:P$254)/SUMIF('nres bld data'!$V$3:$V$254,"="&amp;$B217&amp;$C217&amp;$D217,'nres bld data'!$T$3:$T$254),0)</f>
        <v>4.8754139051500757E-2</v>
      </c>
      <c r="Y217" s="116">
        <f>IFERROR(SUMIF('nres bld data'!$V$3:$V$254,"="&amp;$B217&amp;$C217&amp;$D217,'nres bld data'!Q$3:Q$254)/SUMIF('nres bld data'!$V$3:$V$254,"="&amp;$B217&amp;$C217&amp;$D217,'nres bld data'!$T$3:$T$254),0)</f>
        <v>0.95124586094849928</v>
      </c>
      <c r="AA217" s="116">
        <f ca="1">IFERROR(SUMIF('nres bld data'!$V$3:$V$254,"="&amp;$B217&amp;$C217&amp;$D217,'nres bld data'!P$3:P$254)/SUMIF('nres bld data'!$W$256:$W$297,"="&amp;$B217&amp;$C217,'nres bld data'!P$256:P$297),0)</f>
        <v>3.6783152684572183E-2</v>
      </c>
      <c r="AB217" s="116">
        <f ca="1">IFERROR(SUMIF('nres bld data'!$V$3:$V$254,"="&amp;$B217&amp;$C217&amp;$D217,'nres bld data'!Q$3:Q$254)/SUMIF('nres bld data'!$W$256:$W$297,"="&amp;$B217&amp;$C217,'nres bld data'!Q$256:Q$297),0)</f>
        <v>0.32541642194189324</v>
      </c>
    </row>
    <row r="218" spans="2:28">
      <c r="B218" s="20" t="s">
        <v>10</v>
      </c>
      <c r="C218" s="20" t="s">
        <v>457</v>
      </c>
      <c r="D218" s="20" t="s">
        <v>445</v>
      </c>
      <c r="E218" s="55">
        <f t="shared" ca="1" si="0"/>
        <v>8.4386664866353519E-4</v>
      </c>
      <c r="F218" s="55">
        <f t="shared" ca="1" si="1"/>
        <v>3.3941491804565928E-3</v>
      </c>
      <c r="G218" s="21">
        <f ca="1">IFERROR(SUMIF('nres bld data'!$A$3:$A$38,B218&amp;C218,'nres bld data'!$D$3:$D$38),0)</f>
        <v>617494</v>
      </c>
      <c r="H218" s="21">
        <f t="shared" ref="H218:I218" ca="1" si="222">$T218*U218</f>
        <v>26415.010371458829</v>
      </c>
      <c r="I218" s="21">
        <f t="shared" ca="1" si="222"/>
        <v>29305.060508406954</v>
      </c>
      <c r="J218" s="21"/>
      <c r="K218" s="21"/>
      <c r="S218" s="115"/>
      <c r="T218" s="22">
        <f ca="1">G218/SUMIF('nres bld data'!$B$3:$B$38,$B218,'nres bld data'!$D$3:$D$38)</f>
        <v>3.019349578547023E-3</v>
      </c>
      <c r="U218" s="21">
        <f>SUMIFS('Projections by County'!$D$10:$D$36,'Projections by County'!$A$10:$A$36,$B218,'Projections by County'!$C$10:$C$36,"Electricity (kWh)",'Projections by County'!$B$10:$B$36,"Commercial")*BTU_per_kWh/1000000</f>
        <v>8748576.3686132394</v>
      </c>
      <c r="V218" s="21">
        <f>SUMIFS('Projections by County'!$D$10:$D$36,'Projections by County'!$A$10:$A$36,$B218,'Projections by County'!$C$10:$C$36,"Natural Gas",'Projections by County'!$B$10:$B$36,"Commercial")</f>
        <v>9705752.7609999999</v>
      </c>
      <c r="W218" s="116"/>
      <c r="X218" s="116">
        <f>IFERROR(SUMIF('nres bld data'!$V$3:$V$254,"="&amp;$B218&amp;$C218&amp;$D218,'nres bld data'!P$3:P$254)/SUMIF('nres bld data'!$V$3:$V$254,"="&amp;$B218&amp;$C218&amp;$D218,'nres bld data'!$T$3:$T$254),0)</f>
        <v>0.11116432562416273</v>
      </c>
      <c r="Y218" s="116">
        <f>IFERROR(SUMIF('nres bld data'!$V$3:$V$254,"="&amp;$B218&amp;$C218&amp;$D218,'nres bld data'!Q$3:Q$254)/SUMIF('nres bld data'!$V$3:$V$254,"="&amp;$B218&amp;$C218&amp;$D218,'nres bld data'!$T$3:$T$254),0)</f>
        <v>0.88883567437583721</v>
      </c>
      <c r="AA218" s="116">
        <f ca="1">IFERROR(SUMIF('nres bld data'!$V$3:$V$254,"="&amp;$B218&amp;$C218&amp;$D218,'nres bld data'!P$3:P$254)/SUMIF('nres bld data'!$W$256:$W$297,"="&amp;$B218&amp;$C218,'nres bld data'!P$256:P$297),0)</f>
        <v>1.972676084628253E-2</v>
      </c>
      <c r="AB218" s="116">
        <f ca="1">IFERROR(SUMIF('nres bld data'!$V$3:$V$254,"="&amp;$B218&amp;$C218&amp;$D218,'nres bld data'!Q$3:Q$254)/SUMIF('nres bld data'!$W$256:$W$297,"="&amp;$B218&amp;$C218,'nres bld data'!Q$256:Q$297),0)</f>
        <v>7.1518936240913308E-2</v>
      </c>
    </row>
    <row r="219" spans="2:28">
      <c r="B219" s="20" t="s">
        <v>10</v>
      </c>
      <c r="C219" s="20" t="s">
        <v>430</v>
      </c>
      <c r="D219" s="20" t="s">
        <v>429</v>
      </c>
      <c r="E219" s="55">
        <f t="shared" ca="1" si="0"/>
        <v>5.2436821057177683E-3</v>
      </c>
      <c r="F219" s="55">
        <f t="shared" ca="1" si="1"/>
        <v>0</v>
      </c>
      <c r="G219" s="21">
        <f ca="1">IFERROR(SUMIF('nres bld data'!$A$3:$A$38,B219&amp;C219,'nres bld data'!$D$3:$D$38),0)</f>
        <v>70849917</v>
      </c>
      <c r="H219" s="21">
        <f t="shared" ref="H219:I219" ca="1" si="223">$T219*U219</f>
        <v>3030800.772755682</v>
      </c>
      <c r="I219" s="21">
        <f t="shared" ca="1" si="223"/>
        <v>3362398.8325402522</v>
      </c>
      <c r="J219" s="21"/>
      <c r="K219" s="21"/>
      <c r="S219" s="115"/>
      <c r="T219" s="22">
        <f ca="1">G219/SUMIF('nres bld data'!$B$3:$B$38,$B219,'nres bld data'!$D$3:$D$38)</f>
        <v>0.34643359617104225</v>
      </c>
      <c r="U219" s="21">
        <f>SUMIFS('Projections by County'!$D$10:$D$36,'Projections by County'!$A$10:$A$36,$B219,'Projections by County'!$C$10:$C$36,"Electricity (kWh)",'Projections by County'!$B$10:$B$36,"Commercial")*BTU_per_kWh/1000000</f>
        <v>8748576.3686132394</v>
      </c>
      <c r="V219" s="21">
        <f>SUMIFS('Projections by County'!$D$10:$D$36,'Projections by County'!$A$10:$A$36,$B219,'Projections by County'!$C$10:$C$36,"Natural Gas",'Projections by County'!$B$10:$B$36,"Commercial")</f>
        <v>9705752.7609999999</v>
      </c>
      <c r="W219" s="116"/>
      <c r="X219" s="116">
        <f>IFERROR(SUMIF('nres bld data'!$V$3:$V$254,"="&amp;$B219&amp;$C219&amp;$D219,'nres bld data'!P$3:P$254)/SUMIF('nres bld data'!$V$3:$V$254,"="&amp;$B219&amp;$C219&amp;$D219,'nres bld data'!$T$3:$T$254),0)</f>
        <v>1</v>
      </c>
      <c r="Y219" s="116">
        <f>IFERROR(SUMIF('nres bld data'!$V$3:$V$254,"="&amp;$B219&amp;$C219&amp;$D219,'nres bld data'!Q$3:Q$254)/SUMIF('nres bld data'!$V$3:$V$254,"="&amp;$B219&amp;$C219&amp;$D219,'nres bld data'!$T$3:$T$254),0)</f>
        <v>0</v>
      </c>
      <c r="AA219" s="116">
        <f ca="1">IFERROR(SUMIF('nres bld data'!$V$3:$V$254,"="&amp;$B219&amp;$C219&amp;$D219,'nres bld data'!P$3:P$254)/SUMIF('nres bld data'!$W$256:$W$297,"="&amp;$B219&amp;$C219,'nres bld data'!P$256:P$297),0)</f>
        <v>0.1225796315297553</v>
      </c>
      <c r="AB219" s="116">
        <f ca="1">IFERROR(SUMIF('nres bld data'!$V$3:$V$254,"="&amp;$B219&amp;$C219&amp;$D219,'nres bld data'!Q$3:Q$254)/SUMIF('nres bld data'!$W$256:$W$297,"="&amp;$B219&amp;$C219,'nres bld data'!Q$256:Q$297),0)</f>
        <v>0</v>
      </c>
    </row>
    <row r="220" spans="2:28">
      <c r="B220" s="20" t="s">
        <v>10</v>
      </c>
      <c r="C220" s="20" t="s">
        <v>430</v>
      </c>
      <c r="D220" s="20" t="s">
        <v>433</v>
      </c>
      <c r="E220" s="55">
        <f t="shared" ca="1" si="0"/>
        <v>8.1890064524388489E-3</v>
      </c>
      <c r="F220" s="55">
        <f t="shared" ca="1" si="1"/>
        <v>0</v>
      </c>
      <c r="G220" s="21">
        <f ca="1">IFERROR(SUMIF('nres bld data'!$A$3:$A$38,B220&amp;C220,'nres bld data'!$D$3:$D$38),0)</f>
        <v>70849917</v>
      </c>
      <c r="H220" s="21">
        <f t="shared" ref="H220:I220" ca="1" si="224">$T220*U220</f>
        <v>3030800.772755682</v>
      </c>
      <c r="I220" s="21">
        <f t="shared" ca="1" si="224"/>
        <v>3362398.8325402522</v>
      </c>
      <c r="J220" s="21"/>
      <c r="K220" s="21"/>
      <c r="S220" s="115"/>
      <c r="T220" s="22">
        <f ca="1">G220/SUMIF('nres bld data'!$B$3:$B$38,$B220,'nres bld data'!$D$3:$D$38)</f>
        <v>0.34643359617104225</v>
      </c>
      <c r="U220" s="21">
        <f>SUMIFS('Projections by County'!$D$10:$D$36,'Projections by County'!$A$10:$A$36,$B220,'Projections by County'!$C$10:$C$36,"Electricity (kWh)",'Projections by County'!$B$10:$B$36,"Commercial")*BTU_per_kWh/1000000</f>
        <v>8748576.3686132394</v>
      </c>
      <c r="V220" s="21">
        <f>SUMIFS('Projections by County'!$D$10:$D$36,'Projections by County'!$A$10:$A$36,$B220,'Projections by County'!$C$10:$C$36,"Natural Gas",'Projections by County'!$B$10:$B$36,"Commercial")</f>
        <v>9705752.7609999999</v>
      </c>
      <c r="W220" s="116"/>
      <c r="X220" s="116">
        <f>IFERROR(SUMIF('nres bld data'!$V$3:$V$254,"="&amp;$B220&amp;$C220&amp;$D220,'nres bld data'!P$3:P$254)/SUMIF('nres bld data'!$V$3:$V$254,"="&amp;$B220&amp;$C220&amp;$D220,'nres bld data'!$T$3:$T$254),0)</f>
        <v>1</v>
      </c>
      <c r="Y220" s="116">
        <f>IFERROR(SUMIF('nres bld data'!$V$3:$V$254,"="&amp;$B220&amp;$C220&amp;$D220,'nres bld data'!Q$3:Q$254)/SUMIF('nres bld data'!$V$3:$V$254,"="&amp;$B220&amp;$C220&amp;$D220,'nres bld data'!$T$3:$T$254),0)</f>
        <v>0</v>
      </c>
      <c r="AA220" s="116">
        <f ca="1">IFERROR(SUMIF('nres bld data'!$V$3:$V$254,"="&amp;$B220&amp;$C220&amp;$D220,'nres bld data'!P$3:P$254)/SUMIF('nres bld data'!$W$256:$W$297,"="&amp;$B220&amp;$C220,'nres bld data'!P$256:P$297),0)</f>
        <v>0.19143139749836902</v>
      </c>
      <c r="AB220" s="116">
        <f ca="1">IFERROR(SUMIF('nres bld data'!$V$3:$V$254,"="&amp;$B220&amp;$C220&amp;$D220,'nres bld data'!Q$3:Q$254)/SUMIF('nres bld data'!$W$256:$W$297,"="&amp;$B220&amp;$C220,'nres bld data'!Q$256:Q$297),0)</f>
        <v>0</v>
      </c>
    </row>
    <row r="221" spans="2:28">
      <c r="B221" s="20" t="s">
        <v>10</v>
      </c>
      <c r="C221" s="20" t="s">
        <v>430</v>
      </c>
      <c r="D221" s="20" t="s">
        <v>437</v>
      </c>
      <c r="E221" s="55">
        <f t="shared" ca="1" si="0"/>
        <v>2.2801954428538159E-2</v>
      </c>
      <c r="F221" s="55">
        <f t="shared" ca="1" si="1"/>
        <v>0</v>
      </c>
      <c r="G221" s="21">
        <f ca="1">IFERROR(SUMIF('nres bld data'!$A$3:$A$38,B221&amp;C221,'nres bld data'!$D$3:$D$38),0)</f>
        <v>70849917</v>
      </c>
      <c r="H221" s="21">
        <f t="shared" ref="H221:I221" ca="1" si="225">$T221*U221</f>
        <v>3030800.772755682</v>
      </c>
      <c r="I221" s="21">
        <f t="shared" ca="1" si="225"/>
        <v>3362398.8325402522</v>
      </c>
      <c r="J221" s="21"/>
      <c r="K221" s="21"/>
      <c r="S221" s="115"/>
      <c r="T221" s="22">
        <f ca="1">G221/SUMIF('nres bld data'!$B$3:$B$38,$B221,'nres bld data'!$D$3:$D$38)</f>
        <v>0.34643359617104225</v>
      </c>
      <c r="U221" s="21">
        <f>SUMIFS('Projections by County'!$D$10:$D$36,'Projections by County'!$A$10:$A$36,$B221,'Projections by County'!$C$10:$C$36,"Electricity (kWh)",'Projections by County'!$B$10:$B$36,"Commercial")*BTU_per_kWh/1000000</f>
        <v>8748576.3686132394</v>
      </c>
      <c r="V221" s="21">
        <f>SUMIFS('Projections by County'!$D$10:$D$36,'Projections by County'!$A$10:$A$36,$B221,'Projections by County'!$C$10:$C$36,"Natural Gas",'Projections by County'!$B$10:$B$36,"Commercial")</f>
        <v>9705752.7609999999</v>
      </c>
      <c r="W221" s="116"/>
      <c r="X221" s="116">
        <f>IFERROR(SUMIF('nres bld data'!$V$3:$V$254,"="&amp;$B221&amp;$C221&amp;$D221,'nres bld data'!P$3:P$254)/SUMIF('nres bld data'!$V$3:$V$254,"="&amp;$B221&amp;$C221&amp;$D221,'nres bld data'!$T$3:$T$254),0)</f>
        <v>1</v>
      </c>
      <c r="Y221" s="116">
        <f>IFERROR(SUMIF('nres bld data'!$V$3:$V$254,"="&amp;$B221&amp;$C221&amp;$D221,'nres bld data'!Q$3:Q$254)/SUMIF('nres bld data'!$V$3:$V$254,"="&amp;$B221&amp;$C221&amp;$D221,'nres bld data'!$T$3:$T$254),0)</f>
        <v>0</v>
      </c>
      <c r="AA221" s="116">
        <f ca="1">IFERROR(SUMIF('nres bld data'!$V$3:$V$254,"="&amp;$B221&amp;$C221&amp;$D221,'nres bld data'!P$3:P$254)/SUMIF('nres bld data'!$W$256:$W$297,"="&amp;$B221&amp;$C221,'nres bld data'!P$256:P$297),0)</f>
        <v>0.53303291764401983</v>
      </c>
      <c r="AB221" s="116">
        <f ca="1">IFERROR(SUMIF('nres bld data'!$V$3:$V$254,"="&amp;$B221&amp;$C221&amp;$D221,'nres bld data'!Q$3:Q$254)/SUMIF('nres bld data'!$W$256:$W$297,"="&amp;$B221&amp;$C221,'nres bld data'!Q$256:Q$297),0)</f>
        <v>0</v>
      </c>
    </row>
    <row r="222" spans="2:28">
      <c r="B222" s="20" t="s">
        <v>10</v>
      </c>
      <c r="C222" s="20" t="s">
        <v>430</v>
      </c>
      <c r="D222" s="20" t="s">
        <v>440</v>
      </c>
      <c r="E222" s="55">
        <f t="shared" ca="1" si="0"/>
        <v>4.5864869998202083E-3</v>
      </c>
      <c r="F222" s="55">
        <f t="shared" ca="1" si="1"/>
        <v>0</v>
      </c>
      <c r="G222" s="21">
        <f ca="1">IFERROR(SUMIF('nres bld data'!$A$3:$A$38,B222&amp;C222,'nres bld data'!$D$3:$D$38),0)</f>
        <v>70849917</v>
      </c>
      <c r="H222" s="21">
        <f t="shared" ref="H222:I222" ca="1" si="226">$T222*U222</f>
        <v>3030800.772755682</v>
      </c>
      <c r="I222" s="21">
        <f t="shared" ca="1" si="226"/>
        <v>3362398.8325402522</v>
      </c>
      <c r="J222" s="21"/>
      <c r="K222" s="21"/>
      <c r="S222" s="115"/>
      <c r="T222" s="22">
        <f ca="1">G222/SUMIF('nres bld data'!$B$3:$B$38,$B222,'nres bld data'!$D$3:$D$38)</f>
        <v>0.34643359617104225</v>
      </c>
      <c r="U222" s="21">
        <f>SUMIFS('Projections by County'!$D$10:$D$36,'Projections by County'!$A$10:$A$36,$B222,'Projections by County'!$C$10:$C$36,"Electricity (kWh)",'Projections by County'!$B$10:$B$36,"Commercial")*BTU_per_kWh/1000000</f>
        <v>8748576.3686132394</v>
      </c>
      <c r="V222" s="21">
        <f>SUMIFS('Projections by County'!$D$10:$D$36,'Projections by County'!$A$10:$A$36,$B222,'Projections by County'!$C$10:$C$36,"Natural Gas",'Projections by County'!$B$10:$B$36,"Commercial")</f>
        <v>9705752.7609999999</v>
      </c>
      <c r="W222" s="116"/>
      <c r="X222" s="116">
        <f>IFERROR(SUMIF('nres bld data'!$V$3:$V$254,"="&amp;$B222&amp;$C222&amp;$D222,'nres bld data'!P$3:P$254)/SUMIF('nres bld data'!$V$3:$V$254,"="&amp;$B222&amp;$C222&amp;$D222,'nres bld data'!$T$3:$T$254),0)</f>
        <v>1</v>
      </c>
      <c r="Y222" s="116">
        <f>IFERROR(SUMIF('nres bld data'!$V$3:$V$254,"="&amp;$B222&amp;$C222&amp;$D222,'nres bld data'!Q$3:Q$254)/SUMIF('nres bld data'!$V$3:$V$254,"="&amp;$B222&amp;$C222&amp;$D222,'nres bld data'!$T$3:$T$254),0)</f>
        <v>0</v>
      </c>
      <c r="AA222" s="116">
        <f ca="1">IFERROR(SUMIF('nres bld data'!$V$3:$V$254,"="&amp;$B222&amp;$C222&amp;$D222,'nres bld data'!P$3:P$254)/SUMIF('nres bld data'!$W$256:$W$297,"="&amp;$B222&amp;$C222,'nres bld data'!P$256:P$297),0)</f>
        <v>0.10721662280803296</v>
      </c>
      <c r="AB222" s="116">
        <f ca="1">IFERROR(SUMIF('nres bld data'!$V$3:$V$254,"="&amp;$B222&amp;$C222&amp;$D222,'nres bld data'!Q$3:Q$254)/SUMIF('nres bld data'!$W$256:$W$297,"="&amp;$B222&amp;$C222,'nres bld data'!Q$256:Q$297),0)</f>
        <v>0</v>
      </c>
    </row>
    <row r="223" spans="2:28">
      <c r="B223" s="20" t="s">
        <v>10</v>
      </c>
      <c r="C223" s="20" t="s">
        <v>430</v>
      </c>
      <c r="D223" s="20" t="s">
        <v>443</v>
      </c>
      <c r="E223" s="55">
        <f t="shared" ca="1" si="0"/>
        <v>1.9566303989443472E-3</v>
      </c>
      <c r="F223" s="55">
        <f t="shared" ca="1" si="1"/>
        <v>4.7458048998705989E-2</v>
      </c>
      <c r="G223" s="21">
        <f ca="1">IFERROR(SUMIF('nres bld data'!$A$3:$A$38,B223&amp;C223,'nres bld data'!$D$3:$D$38),0)</f>
        <v>70849917</v>
      </c>
      <c r="H223" s="21">
        <f t="shared" ref="H223:I223" ca="1" si="227">$T223*U223</f>
        <v>3030800.772755682</v>
      </c>
      <c r="I223" s="21">
        <f t="shared" ca="1" si="227"/>
        <v>3362398.8325402522</v>
      </c>
      <c r="J223" s="21"/>
      <c r="K223" s="21"/>
      <c r="S223" s="115"/>
      <c r="T223" s="22">
        <f ca="1">G223/SUMIF('nres bld data'!$B$3:$B$38,$B223,'nres bld data'!$D$3:$D$38)</f>
        <v>0.34643359617104225</v>
      </c>
      <c r="U223" s="21">
        <f>SUMIFS('Projections by County'!$D$10:$D$36,'Projections by County'!$A$10:$A$36,$B223,'Projections by County'!$C$10:$C$36,"Electricity (kWh)",'Projections by County'!$B$10:$B$36,"Commercial")*BTU_per_kWh/1000000</f>
        <v>8748576.3686132394</v>
      </c>
      <c r="V223" s="21">
        <f>SUMIFS('Projections by County'!$D$10:$D$36,'Projections by County'!$A$10:$A$36,$B223,'Projections by County'!$C$10:$C$36,"Natural Gas",'Projections by County'!$B$10:$B$36,"Commercial")</f>
        <v>9705752.7609999999</v>
      </c>
      <c r="W223" s="116"/>
      <c r="X223" s="116">
        <f>IFERROR(SUMIF('nres bld data'!$V$3:$V$254,"="&amp;$B223&amp;$C223&amp;$D223,'nres bld data'!P$3:P$254)/SUMIF('nres bld data'!$V$3:$V$254,"="&amp;$B223&amp;$C223&amp;$D223,'nres bld data'!$T$3:$T$254),0)</f>
        <v>6.8286371410131649E-2</v>
      </c>
      <c r="Y223" s="116">
        <f>IFERROR(SUMIF('nres bld data'!$V$3:$V$254,"="&amp;$B223&amp;$C223&amp;$D223,'nres bld data'!Q$3:Q$254)/SUMIF('nres bld data'!$V$3:$V$254,"="&amp;$B223&amp;$C223&amp;$D223,'nres bld data'!$T$3:$T$254),0)</f>
        <v>0.89804920274419375</v>
      </c>
      <c r="AA223" s="116">
        <f ca="1">IFERROR(SUMIF('nres bld data'!$V$3:$V$254,"="&amp;$B223&amp;$C223&amp;$D223,'nres bld data'!P$3:P$254)/SUMIF('nres bld data'!$W$256:$W$297,"="&amp;$B223&amp;$C223,'nres bld data'!P$256:P$297),0)</f>
        <v>4.5739430519822842E-2</v>
      </c>
      <c r="AB223" s="116">
        <f ca="1">IFERROR(SUMIF('nres bld data'!$V$3:$V$254,"="&amp;$B223&amp;$C223&amp;$D223,'nres bld data'!Q$3:Q$254)/SUMIF('nres bld data'!$W$256:$W$297,"="&amp;$B223&amp;$C223,'nres bld data'!Q$256:Q$297),0)</f>
        <v>1</v>
      </c>
    </row>
    <row r="224" spans="2:28">
      <c r="B224" s="20" t="s">
        <v>10</v>
      </c>
      <c r="C224" s="20" t="s">
        <v>430</v>
      </c>
      <c r="D224" s="20" t="s">
        <v>445</v>
      </c>
      <c r="E224" s="55">
        <f t="shared" ca="1" si="0"/>
        <v>0</v>
      </c>
      <c r="F224" s="55">
        <f t="shared" ca="1" si="1"/>
        <v>0</v>
      </c>
      <c r="G224" s="21">
        <f ca="1">IFERROR(SUMIF('nres bld data'!$A$3:$A$38,B224&amp;C224,'nres bld data'!$D$3:$D$38),0)</f>
        <v>70849917</v>
      </c>
      <c r="H224" s="21">
        <f t="shared" ref="H224:I224" ca="1" si="228">$T224*U224</f>
        <v>3030800.772755682</v>
      </c>
      <c r="I224" s="21">
        <f t="shared" ca="1" si="228"/>
        <v>3362398.8325402522</v>
      </c>
      <c r="J224" s="21"/>
      <c r="K224" s="21"/>
      <c r="S224" s="115"/>
      <c r="T224" s="22">
        <f ca="1">G224/SUMIF('nres bld data'!$B$3:$B$38,$B224,'nres bld data'!$D$3:$D$38)</f>
        <v>0.34643359617104225</v>
      </c>
      <c r="U224" s="21">
        <f>SUMIFS('Projections by County'!$D$10:$D$36,'Projections by County'!$A$10:$A$36,$B224,'Projections by County'!$C$10:$C$36,"Electricity (kWh)",'Projections by County'!$B$10:$B$36,"Commercial")*BTU_per_kWh/1000000</f>
        <v>8748576.3686132394</v>
      </c>
      <c r="V224" s="21">
        <f>SUMIFS('Projections by County'!$D$10:$D$36,'Projections by County'!$A$10:$A$36,$B224,'Projections by County'!$C$10:$C$36,"Natural Gas",'Projections by County'!$B$10:$B$36,"Commercial")</f>
        <v>9705752.7609999999</v>
      </c>
      <c r="W224" s="116"/>
      <c r="X224" s="116">
        <f>IFERROR(SUMIF('nres bld data'!$V$3:$V$254,"="&amp;$B224&amp;$C224&amp;$D224,'nres bld data'!P$3:P$254)/SUMIF('nres bld data'!$V$3:$V$254,"="&amp;$B224&amp;$C224&amp;$D224,'nres bld data'!$T$3:$T$254),0)</f>
        <v>0</v>
      </c>
      <c r="Y224" s="116">
        <f>IFERROR(SUMIF('nres bld data'!$V$3:$V$254,"="&amp;$B224&amp;$C224&amp;$D224,'nres bld data'!Q$3:Q$254)/SUMIF('nres bld data'!$V$3:$V$254,"="&amp;$B224&amp;$C224&amp;$D224,'nres bld data'!$T$3:$T$254),0)</f>
        <v>0</v>
      </c>
      <c r="AA224" s="116">
        <f ca="1">IFERROR(SUMIF('nres bld data'!$V$3:$V$254,"="&amp;$B224&amp;$C224&amp;$D224,'nres bld data'!P$3:P$254)/SUMIF('nres bld data'!$W$256:$W$297,"="&amp;$B224&amp;$C224,'nres bld data'!P$256:P$297),0)</f>
        <v>0</v>
      </c>
      <c r="AB224" s="116">
        <f ca="1">IFERROR(SUMIF('nres bld data'!$V$3:$V$254,"="&amp;$B224&amp;$C224&amp;$D224,'nres bld data'!Q$3:Q$254)/SUMIF('nres bld data'!$W$256:$W$297,"="&amp;$B224&amp;$C224,'nres bld data'!Q$256:Q$297),0)</f>
        <v>0</v>
      </c>
    </row>
    <row r="225" spans="2:28">
      <c r="B225" s="20" t="s">
        <v>10</v>
      </c>
      <c r="C225" s="20" t="s">
        <v>462</v>
      </c>
      <c r="D225" s="20" t="s">
        <v>429</v>
      </c>
      <c r="E225" s="55">
        <f t="shared" ca="1" si="0"/>
        <v>0</v>
      </c>
      <c r="F225" s="55">
        <f t="shared" ca="1" si="1"/>
        <v>0</v>
      </c>
      <c r="G225" s="21">
        <f>IFERROR(SUMIF('nres bld data'!$A$3:$A$38,B225&amp;C225,'nres bld data'!$D$3:$D$38),0)</f>
        <v>0</v>
      </c>
      <c r="H225" s="21">
        <f t="shared" ref="H225:I225" ca="1" si="229">$T225*U225</f>
        <v>0</v>
      </c>
      <c r="I225" s="21">
        <f t="shared" ca="1" si="229"/>
        <v>0</v>
      </c>
      <c r="J225" s="21"/>
      <c r="K225" s="21"/>
      <c r="S225" s="115"/>
      <c r="T225" s="22">
        <f ca="1">G225/SUMIF('nres bld data'!$B$3:$B$38,$B225,'nres bld data'!$D$3:$D$38)</f>
        <v>0</v>
      </c>
      <c r="U225" s="21">
        <f>SUMIFS('Projections by County'!$D$10:$D$36,'Projections by County'!$A$10:$A$36,$B225,'Projections by County'!$C$10:$C$36,"Electricity (kWh)",'Projections by County'!$B$10:$B$36,"Commercial")*BTU_per_kWh/1000000</f>
        <v>8748576.3686132394</v>
      </c>
      <c r="V225" s="21">
        <f>SUMIFS('Projections by County'!$D$10:$D$36,'Projections by County'!$A$10:$A$36,$B225,'Projections by County'!$C$10:$C$36,"Natural Gas",'Projections by County'!$B$10:$B$36,"Commercial")</f>
        <v>9705752.7609999999</v>
      </c>
      <c r="W225" s="116"/>
      <c r="X225" s="116">
        <f>IFERROR(SUMIF('nres bld data'!$V$3:$V$254,"="&amp;$B225&amp;$C225&amp;$D225,'nres bld data'!P$3:P$254)/SUMIF('nres bld data'!$V$3:$V$254,"="&amp;$B225&amp;$C225&amp;$D225,'nres bld data'!$T$3:$T$254),0)</f>
        <v>0.39221226932045034</v>
      </c>
      <c r="Y225" s="116">
        <f>IFERROR(SUMIF('nres bld data'!$V$3:$V$254,"="&amp;$B225&amp;$C225&amp;$D225,'nres bld data'!Q$3:Q$254)/SUMIF('nres bld data'!$V$3:$V$254,"="&amp;$B225&amp;$C225&amp;$D225,'nres bld data'!$T$3:$T$254),0)</f>
        <v>0.60778773067954972</v>
      </c>
      <c r="AA225" s="116">
        <f ca="1">IFERROR(SUMIF('nres bld data'!$V$3:$V$254,"="&amp;$B225&amp;$C225&amp;$D225,'nres bld data'!P$3:P$254)/SUMIF('nres bld data'!$W$256:$W$297,"="&amp;$B225&amp;$C225,'nres bld data'!P$256:P$297),0)</f>
        <v>0.20657617801467604</v>
      </c>
      <c r="AB225" s="116">
        <f ca="1">IFERROR(SUMIF('nres bld data'!$V$3:$V$254,"="&amp;$B225&amp;$C225&amp;$D225,'nres bld data'!Q$3:Q$254)/SUMIF('nres bld data'!$W$256:$W$297,"="&amp;$B225&amp;$C225,'nres bld data'!Q$256:Q$297),0)</f>
        <v>0.44737348179186887</v>
      </c>
    </row>
    <row r="226" spans="2:28">
      <c r="B226" s="20" t="s">
        <v>10</v>
      </c>
      <c r="C226" s="20" t="s">
        <v>462</v>
      </c>
      <c r="D226" s="20" t="s">
        <v>433</v>
      </c>
      <c r="E226" s="55">
        <f t="shared" ca="1" si="0"/>
        <v>0</v>
      </c>
      <c r="F226" s="55">
        <f t="shared" ca="1" si="1"/>
        <v>0</v>
      </c>
      <c r="G226" s="21">
        <f>IFERROR(SUMIF('nres bld data'!$A$3:$A$38,B226&amp;C226,'nres bld data'!$D$3:$D$38),0)</f>
        <v>0</v>
      </c>
      <c r="H226" s="21">
        <f t="shared" ref="H226:I226" ca="1" si="230">$T226*U226</f>
        <v>0</v>
      </c>
      <c r="I226" s="21">
        <f t="shared" ca="1" si="230"/>
        <v>0</v>
      </c>
      <c r="J226" s="21"/>
      <c r="K226" s="21"/>
      <c r="S226" s="115"/>
      <c r="T226" s="22">
        <f ca="1">G226/SUMIF('nres bld data'!$B$3:$B$38,$B226,'nres bld data'!$D$3:$D$38)</f>
        <v>0</v>
      </c>
      <c r="U226" s="21">
        <f>SUMIFS('Projections by County'!$D$10:$D$36,'Projections by County'!$A$10:$A$36,$B226,'Projections by County'!$C$10:$C$36,"Electricity (kWh)",'Projections by County'!$B$10:$B$36,"Commercial")*BTU_per_kWh/1000000</f>
        <v>8748576.3686132394</v>
      </c>
      <c r="V226" s="21">
        <f>SUMIFS('Projections by County'!$D$10:$D$36,'Projections by County'!$A$10:$A$36,$B226,'Projections by County'!$C$10:$C$36,"Natural Gas",'Projections by County'!$B$10:$B$36,"Commercial")</f>
        <v>9705752.7609999999</v>
      </c>
      <c r="W226" s="116"/>
      <c r="X226" s="116">
        <f>IFERROR(SUMIF('nres bld data'!$V$3:$V$254,"="&amp;$B226&amp;$C226&amp;$D226,'nres bld data'!P$3:P$254)/SUMIF('nres bld data'!$V$3:$V$254,"="&amp;$B226&amp;$C226&amp;$D226,'nres bld data'!$T$3:$T$254),0)</f>
        <v>1</v>
      </c>
      <c r="Y226" s="116">
        <f>IFERROR(SUMIF('nres bld data'!$V$3:$V$254,"="&amp;$B226&amp;$C226&amp;$D226,'nres bld data'!Q$3:Q$254)/SUMIF('nres bld data'!$V$3:$V$254,"="&amp;$B226&amp;$C226&amp;$D226,'nres bld data'!$T$3:$T$254),0)</f>
        <v>0</v>
      </c>
      <c r="AA226" s="116">
        <f ca="1">IFERROR(SUMIF('nres bld data'!$V$3:$V$254,"="&amp;$B226&amp;$C226&amp;$D226,'nres bld data'!P$3:P$254)/SUMIF('nres bld data'!$W$256:$W$297,"="&amp;$B226&amp;$C226,'nres bld data'!P$256:P$297),0)</f>
        <v>0.18268877640806397</v>
      </c>
      <c r="AB226" s="116">
        <f ca="1">IFERROR(SUMIF('nres bld data'!$V$3:$V$254,"="&amp;$B226&amp;$C226&amp;$D226,'nres bld data'!Q$3:Q$254)/SUMIF('nres bld data'!$W$256:$W$297,"="&amp;$B226&amp;$C226,'nres bld data'!Q$256:Q$297),0)</f>
        <v>0</v>
      </c>
    </row>
    <row r="227" spans="2:28">
      <c r="B227" s="20" t="s">
        <v>10</v>
      </c>
      <c r="C227" s="20" t="s">
        <v>462</v>
      </c>
      <c r="D227" s="20" t="s">
        <v>437</v>
      </c>
      <c r="E227" s="55">
        <f t="shared" ca="1" si="0"/>
        <v>0</v>
      </c>
      <c r="F227" s="55">
        <f t="shared" ca="1" si="1"/>
        <v>0</v>
      </c>
      <c r="G227" s="21">
        <f>IFERROR(SUMIF('nres bld data'!$A$3:$A$38,B227&amp;C227,'nres bld data'!$D$3:$D$38),0)</f>
        <v>0</v>
      </c>
      <c r="H227" s="21">
        <f t="shared" ref="H227:I227" ca="1" si="231">$T227*U227</f>
        <v>0</v>
      </c>
      <c r="I227" s="21">
        <f t="shared" ca="1" si="231"/>
        <v>0</v>
      </c>
      <c r="J227" s="21"/>
      <c r="K227" s="21"/>
      <c r="S227" s="114"/>
      <c r="T227" s="22">
        <f ca="1">G227/SUMIF('nres bld data'!$B$3:$B$38,$B227,'nres bld data'!$D$3:$D$38)</f>
        <v>0</v>
      </c>
      <c r="U227" s="21">
        <f>SUMIFS('Projections by County'!$D$10:$D$36,'Projections by County'!$A$10:$A$36,$B227,'Projections by County'!$C$10:$C$36,"Electricity (kWh)",'Projections by County'!$B$10:$B$36,"Commercial")*BTU_per_kWh/1000000</f>
        <v>8748576.3686132394</v>
      </c>
      <c r="V227" s="21">
        <f>SUMIFS('Projections by County'!$D$10:$D$36,'Projections by County'!$A$10:$A$36,$B227,'Projections by County'!$C$10:$C$36,"Natural Gas",'Projections by County'!$B$10:$B$36,"Commercial")</f>
        <v>9705752.7609999999</v>
      </c>
      <c r="W227" s="20"/>
      <c r="X227" s="116">
        <f>IFERROR(SUMIF('nres bld data'!$V$3:$V$254,"="&amp;$B227&amp;$C227&amp;$D227,'nres bld data'!P$3:P$254)/SUMIF('nres bld data'!$V$3:$V$254,"="&amp;$B227&amp;$C227&amp;$D227,'nres bld data'!$T$3:$T$254),0)</f>
        <v>1</v>
      </c>
      <c r="Y227" s="116">
        <f>IFERROR(SUMIF('nres bld data'!$V$3:$V$254,"="&amp;$B227&amp;$C227&amp;$D227,'nres bld data'!Q$3:Q$254)/SUMIF('nres bld data'!$V$3:$V$254,"="&amp;$B227&amp;$C227&amp;$D227,'nres bld data'!$T$3:$T$254),0)</f>
        <v>0</v>
      </c>
      <c r="AA227" s="116">
        <f ca="1">IFERROR(SUMIF('nres bld data'!$V$3:$V$254,"="&amp;$B227&amp;$C227&amp;$D227,'nres bld data'!P$3:P$254)/SUMIF('nres bld data'!$W$256:$W$297,"="&amp;$B227&amp;$C227,'nres bld data'!P$256:P$297),0)</f>
        <v>0.33018025567352977</v>
      </c>
      <c r="AB227" s="116">
        <f ca="1">IFERROR(SUMIF('nres bld data'!$V$3:$V$254,"="&amp;$B227&amp;$C227&amp;$D227,'nres bld data'!Q$3:Q$254)/SUMIF('nres bld data'!$W$256:$W$297,"="&amp;$B227&amp;$C227,'nres bld data'!Q$256:Q$297),0)</f>
        <v>0</v>
      </c>
    </row>
    <row r="228" spans="2:28">
      <c r="B228" s="20" t="s">
        <v>10</v>
      </c>
      <c r="C228" s="20" t="s">
        <v>462</v>
      </c>
      <c r="D228" s="20" t="s">
        <v>440</v>
      </c>
      <c r="E228" s="55">
        <f t="shared" ca="1" si="0"/>
        <v>0</v>
      </c>
      <c r="F228" s="55">
        <f t="shared" ca="1" si="1"/>
        <v>0</v>
      </c>
      <c r="G228" s="21">
        <f>IFERROR(SUMIF('nres bld data'!$A$3:$A$38,B228&amp;C228,'nres bld data'!$D$3:$D$38),0)</f>
        <v>0</v>
      </c>
      <c r="H228" s="21">
        <f t="shared" ref="H228:I228" ca="1" si="232">$T228*U228</f>
        <v>0</v>
      </c>
      <c r="I228" s="21">
        <f t="shared" ca="1" si="232"/>
        <v>0</v>
      </c>
      <c r="J228" s="21"/>
      <c r="K228" s="21"/>
      <c r="S228" s="114"/>
      <c r="T228" s="22">
        <f ca="1">G228/SUMIF('nres bld data'!$B$3:$B$38,$B228,'nres bld data'!$D$3:$D$38)</f>
        <v>0</v>
      </c>
      <c r="U228" s="21">
        <f>SUMIFS('Projections by County'!$D$10:$D$36,'Projections by County'!$A$10:$A$36,$B228,'Projections by County'!$C$10:$C$36,"Electricity (kWh)",'Projections by County'!$B$10:$B$36,"Commercial")*BTU_per_kWh/1000000</f>
        <v>8748576.3686132394</v>
      </c>
      <c r="V228" s="21">
        <f>SUMIFS('Projections by County'!$D$10:$D$36,'Projections by County'!$A$10:$A$36,$B228,'Projections by County'!$C$10:$C$36,"Natural Gas",'Projections by County'!$B$10:$B$36,"Commercial")</f>
        <v>9705752.7609999999</v>
      </c>
      <c r="W228" s="20"/>
      <c r="X228" s="116">
        <f>IFERROR(SUMIF('nres bld data'!$V$3:$V$254,"="&amp;$B228&amp;$C228&amp;$D228,'nres bld data'!P$3:P$254)/SUMIF('nres bld data'!$V$3:$V$254,"="&amp;$B228&amp;$C228&amp;$D228,'nres bld data'!$T$3:$T$254),0)</f>
        <v>1</v>
      </c>
      <c r="Y228" s="116">
        <f>IFERROR(SUMIF('nres bld data'!$V$3:$V$254,"="&amp;$B228&amp;$C228&amp;$D228,'nres bld data'!Q$3:Q$254)/SUMIF('nres bld data'!$V$3:$V$254,"="&amp;$B228&amp;$C228&amp;$D228,'nres bld data'!$T$3:$T$254),0)</f>
        <v>0</v>
      </c>
      <c r="AA228" s="116">
        <f ca="1">IFERROR(SUMIF('nres bld data'!$V$3:$V$254,"="&amp;$B228&amp;$C228&amp;$D228,'nres bld data'!P$3:P$254)/SUMIF('nres bld data'!$W$256:$W$297,"="&amp;$B228&amp;$C228,'nres bld data'!P$256:P$297),0)</f>
        <v>0.11029826302915881</v>
      </c>
      <c r="AB228" s="116">
        <f ca="1">IFERROR(SUMIF('nres bld data'!$V$3:$V$254,"="&amp;$B228&amp;$C228&amp;$D228,'nres bld data'!Q$3:Q$254)/SUMIF('nres bld data'!$W$256:$W$297,"="&amp;$B228&amp;$C228,'nres bld data'!Q$256:Q$297),0)</f>
        <v>0</v>
      </c>
    </row>
    <row r="229" spans="2:28">
      <c r="B229" s="20" t="s">
        <v>10</v>
      </c>
      <c r="C229" s="20" t="s">
        <v>462</v>
      </c>
      <c r="D229" s="20" t="s">
        <v>443</v>
      </c>
      <c r="E229" s="55">
        <f t="shared" ca="1" si="0"/>
        <v>0</v>
      </c>
      <c r="F229" s="55">
        <f t="shared" ca="1" si="1"/>
        <v>0</v>
      </c>
      <c r="G229" s="21">
        <f>IFERROR(SUMIF('nres bld data'!$A$3:$A$38,B229&amp;C229,'nres bld data'!$D$3:$D$38),0)</f>
        <v>0</v>
      </c>
      <c r="H229" s="21">
        <f t="shared" ref="H229:I229" ca="1" si="233">$T229*U229</f>
        <v>0</v>
      </c>
      <c r="I229" s="21">
        <f t="shared" ca="1" si="233"/>
        <v>0</v>
      </c>
      <c r="J229" s="21"/>
      <c r="K229" s="21"/>
      <c r="S229" s="114"/>
      <c r="T229" s="22">
        <f ca="1">G229/SUMIF('nres bld data'!$B$3:$B$38,$B229,'nres bld data'!$D$3:$D$38)</f>
        <v>0</v>
      </c>
      <c r="U229" s="21">
        <f>SUMIFS('Projections by County'!$D$10:$D$36,'Projections by County'!$A$10:$A$36,$B229,'Projections by County'!$C$10:$C$36,"Electricity (kWh)",'Projections by County'!$B$10:$B$36,"Commercial")*BTU_per_kWh/1000000</f>
        <v>8748576.3686132394</v>
      </c>
      <c r="V229" s="21">
        <f>SUMIFS('Projections by County'!$D$10:$D$36,'Projections by County'!$A$10:$A$36,$B229,'Projections by County'!$C$10:$C$36,"Natural Gas",'Projections by County'!$B$10:$B$36,"Commercial")</f>
        <v>9705752.7609999999</v>
      </c>
      <c r="W229" s="20"/>
      <c r="X229" s="116">
        <f>IFERROR(SUMIF('nres bld data'!$V$3:$V$254,"="&amp;$B229&amp;$C229&amp;$D229,'nres bld data'!P$3:P$254)/SUMIF('nres bld data'!$V$3:$V$254,"="&amp;$B229&amp;$C229&amp;$D229,'nres bld data'!$T$3:$T$254),0)</f>
        <v>0.17200250937491857</v>
      </c>
      <c r="Y229" s="116">
        <f>IFERROR(SUMIF('nres bld data'!$V$3:$V$254,"="&amp;$B229&amp;$C229&amp;$D229,'nres bld data'!Q$3:Q$254)/SUMIF('nres bld data'!$V$3:$V$254,"="&amp;$B229&amp;$C229&amp;$D229,'nres bld data'!$T$3:$T$254),0)</f>
        <v>0.75177667791933334</v>
      </c>
      <c r="AA229" s="116">
        <f ca="1">IFERROR(SUMIF('nres bld data'!$V$3:$V$254,"="&amp;$B229&amp;$C229&amp;$D229,'nres bld data'!P$3:P$254)/SUMIF('nres bld data'!$W$256:$W$297,"="&amp;$B229&amp;$C229,'nres bld data'!P$256:P$297),0)</f>
        <v>6.4436887973485416E-2</v>
      </c>
      <c r="AB229" s="116">
        <f ca="1">IFERROR(SUMIF('nres bld data'!$V$3:$V$254,"="&amp;$B229&amp;$C229&amp;$D229,'nres bld data'!Q$3:Q$254)/SUMIF('nres bld data'!$W$256:$W$297,"="&amp;$B229&amp;$C229,'nres bld data'!Q$256:Q$297),0)</f>
        <v>0.39359345627547515</v>
      </c>
    </row>
    <row r="230" spans="2:28">
      <c r="B230" s="20" t="s">
        <v>10</v>
      </c>
      <c r="C230" s="20" t="s">
        <v>462</v>
      </c>
      <c r="D230" s="20" t="s">
        <v>445</v>
      </c>
      <c r="E230" s="55">
        <f t="shared" ca="1" si="0"/>
        <v>0</v>
      </c>
      <c r="F230" s="55">
        <f t="shared" ca="1" si="1"/>
        <v>0</v>
      </c>
      <c r="G230" s="21">
        <f>IFERROR(SUMIF('nres bld data'!$A$3:$A$38,B230&amp;C230,'nres bld data'!$D$3:$D$38),0)</f>
        <v>0</v>
      </c>
      <c r="H230" s="21">
        <f t="shared" ref="H230:I230" ca="1" si="234">$T230*U230</f>
        <v>0</v>
      </c>
      <c r="I230" s="21">
        <f t="shared" ca="1" si="234"/>
        <v>0</v>
      </c>
      <c r="J230" s="21"/>
      <c r="K230" s="21"/>
      <c r="S230" s="114"/>
      <c r="T230" s="22">
        <f ca="1">G230/SUMIF('nres bld data'!$B$3:$B$38,$B230,'nres bld data'!$D$3:$D$38)</f>
        <v>0</v>
      </c>
      <c r="U230" s="21">
        <f>SUMIFS('Projections by County'!$D$10:$D$36,'Projections by County'!$A$10:$A$36,$B230,'Projections by County'!$C$10:$C$36,"Electricity (kWh)",'Projections by County'!$B$10:$B$36,"Commercial")*BTU_per_kWh/1000000</f>
        <v>8748576.3686132394</v>
      </c>
      <c r="V230" s="21">
        <f>SUMIFS('Projections by County'!$D$10:$D$36,'Projections by County'!$A$10:$A$36,$B230,'Projections by County'!$C$10:$C$36,"Natural Gas",'Projections by County'!$B$10:$B$36,"Commercial")</f>
        <v>9705752.7609999999</v>
      </c>
      <c r="W230" s="20"/>
      <c r="X230" s="116">
        <f>IFERROR(SUMIF('nres bld data'!$V$3:$V$254,"="&amp;$B230&amp;$C230&amp;$D230,'nres bld data'!P$3:P$254)/SUMIF('nres bld data'!$V$3:$V$254,"="&amp;$B230&amp;$C230&amp;$D230,'nres bld data'!$T$3:$T$254),0)</f>
        <v>0.47464367561759185</v>
      </c>
      <c r="Y230" s="116">
        <f>IFERROR(SUMIF('nres bld data'!$V$3:$V$254,"="&amp;$B230&amp;$C230&amp;$D230,'nres bld data'!Q$3:Q$254)/SUMIF('nres bld data'!$V$3:$V$254,"="&amp;$B230&amp;$C230&amp;$D230,'nres bld data'!$T$3:$T$254),0)</f>
        <v>0.51042225036552114</v>
      </c>
      <c r="AA230" s="116">
        <f ca="1">IFERROR(SUMIF('nres bld data'!$V$3:$V$254,"="&amp;$B230&amp;$C230&amp;$D230,'nres bld data'!P$3:P$254)/SUMIF('nres bld data'!$W$256:$W$297,"="&amp;$B230&amp;$C230,'nres bld data'!P$256:P$297),0)</f>
        <v>0.10581963890108621</v>
      </c>
      <c r="AB230" s="116">
        <f ca="1">IFERROR(SUMIF('nres bld data'!$V$3:$V$254,"="&amp;$B230&amp;$C230&amp;$D230,'nres bld data'!Q$3:Q$254)/SUMIF('nres bld data'!$W$256:$W$297,"="&amp;$B230&amp;$C230,'nres bld data'!Q$256:Q$297),0)</f>
        <v>0.15903306193265598</v>
      </c>
    </row>
    <row r="231" spans="2:28">
      <c r="B231" s="20" t="s">
        <v>10</v>
      </c>
      <c r="C231" s="20" t="s">
        <v>463</v>
      </c>
      <c r="D231" s="20" t="s">
        <v>429</v>
      </c>
      <c r="E231" s="55">
        <f t="shared" ca="1" si="0"/>
        <v>0</v>
      </c>
      <c r="F231" s="55">
        <f t="shared" ca="1" si="1"/>
        <v>0</v>
      </c>
      <c r="G231" s="21">
        <f>IFERROR(SUMIF('nres bld data'!$A$3:$A$38,B231&amp;C231,'nres bld data'!$D$3:$D$38),0)</f>
        <v>0</v>
      </c>
      <c r="H231" s="21">
        <f t="shared" ref="H231:I231" ca="1" si="235">$T231*U231</f>
        <v>0</v>
      </c>
      <c r="I231" s="21">
        <f t="shared" ca="1" si="235"/>
        <v>0</v>
      </c>
      <c r="J231" s="21"/>
      <c r="K231" s="21"/>
      <c r="S231" s="114"/>
      <c r="T231" s="22">
        <f ca="1">G231/SUMIF('nres bld data'!$B$3:$B$38,$B231,'nres bld data'!$D$3:$D$38)</f>
        <v>0</v>
      </c>
      <c r="U231" s="21">
        <f>SUMIFS('Projections by County'!$D$10:$D$36,'Projections by County'!$A$10:$A$36,$B231,'Projections by County'!$C$10:$C$36,"Electricity (kWh)",'Projections by County'!$B$10:$B$36,"Commercial")*BTU_per_kWh/1000000</f>
        <v>8748576.3686132394</v>
      </c>
      <c r="V231" s="21">
        <f>SUMIFS('Projections by County'!$D$10:$D$36,'Projections by County'!$A$10:$A$36,$B231,'Projections by County'!$C$10:$C$36,"Natural Gas",'Projections by County'!$B$10:$B$36,"Commercial")</f>
        <v>9705752.7609999999</v>
      </c>
      <c r="W231" s="20"/>
      <c r="X231" s="116">
        <f>IFERROR(SUMIF('nres bld data'!$V$3:$V$254,"="&amp;$B231&amp;$C231&amp;$D231,'nres bld data'!P$3:P$254)/SUMIF('nres bld data'!$V$3:$V$254,"="&amp;$B231&amp;$C231&amp;$D231,'nres bld data'!$T$3:$T$254),0)</f>
        <v>0.70304885949105322</v>
      </c>
      <c r="Y231" s="116">
        <f>IFERROR(SUMIF('nres bld data'!$V$3:$V$254,"="&amp;$B231&amp;$C231&amp;$D231,'nres bld data'!Q$3:Q$254)/SUMIF('nres bld data'!$V$3:$V$254,"="&amp;$B231&amp;$C231&amp;$D231,'nres bld data'!$T$3:$T$254),0)</f>
        <v>0.29695114050894678</v>
      </c>
      <c r="AA231" s="116">
        <f ca="1">IFERROR(SUMIF('nres bld data'!$V$3:$V$254,"="&amp;$B231&amp;$C231&amp;$D231,'nres bld data'!P$3:P$254)/SUMIF('nres bld data'!$W$256:$W$297,"="&amp;$B231&amp;$C231,'nres bld data'!P$256:P$297),0)</f>
        <v>0.1024630945127564</v>
      </c>
      <c r="AB231" s="116">
        <f ca="1">IFERROR(SUMIF('nres bld data'!$V$3:$V$254,"="&amp;$B231&amp;$C231&amp;$D231,'nres bld data'!Q$3:Q$254)/SUMIF('nres bld data'!$W$256:$W$297,"="&amp;$B231&amp;$C231,'nres bld data'!Q$256:Q$297),0)</f>
        <v>8.2739864654341536E-2</v>
      </c>
    </row>
    <row r="232" spans="2:28">
      <c r="B232" s="20" t="s">
        <v>10</v>
      </c>
      <c r="C232" s="20" t="s">
        <v>463</v>
      </c>
      <c r="D232" s="20" t="s">
        <v>433</v>
      </c>
      <c r="E232" s="55">
        <f t="shared" ca="1" si="0"/>
        <v>0</v>
      </c>
      <c r="F232" s="55">
        <f t="shared" ca="1" si="1"/>
        <v>0</v>
      </c>
      <c r="G232" s="21">
        <f>IFERROR(SUMIF('nres bld data'!$A$3:$A$38,B232&amp;C232,'nres bld data'!$D$3:$D$38),0)</f>
        <v>0</v>
      </c>
      <c r="H232" s="21">
        <f t="shared" ref="H232:I232" ca="1" si="236">$T232*U232</f>
        <v>0</v>
      </c>
      <c r="I232" s="21">
        <f t="shared" ca="1" si="236"/>
        <v>0</v>
      </c>
      <c r="J232" s="21"/>
      <c r="K232" s="21"/>
      <c r="S232" s="114"/>
      <c r="T232" s="22">
        <f ca="1">G232/SUMIF('nres bld data'!$B$3:$B$38,$B232,'nres bld data'!$D$3:$D$38)</f>
        <v>0</v>
      </c>
      <c r="U232" s="21">
        <f>SUMIFS('Projections by County'!$D$10:$D$36,'Projections by County'!$A$10:$A$36,$B232,'Projections by County'!$C$10:$C$36,"Electricity (kWh)",'Projections by County'!$B$10:$B$36,"Commercial")*BTU_per_kWh/1000000</f>
        <v>8748576.3686132394</v>
      </c>
      <c r="V232" s="21">
        <f>SUMIFS('Projections by County'!$D$10:$D$36,'Projections by County'!$A$10:$A$36,$B232,'Projections by County'!$C$10:$C$36,"Natural Gas",'Projections by County'!$B$10:$B$36,"Commercial")</f>
        <v>9705752.7609999999</v>
      </c>
      <c r="W232" s="20"/>
      <c r="X232" s="116">
        <f>IFERROR(SUMIF('nres bld data'!$V$3:$V$254,"="&amp;$B232&amp;$C232&amp;$D232,'nres bld data'!P$3:P$254)/SUMIF('nres bld data'!$V$3:$V$254,"="&amp;$B232&amp;$C232&amp;$D232,'nres bld data'!$T$3:$T$254),0)</f>
        <v>1</v>
      </c>
      <c r="Y232" s="116">
        <f>IFERROR(SUMIF('nres bld data'!$V$3:$V$254,"="&amp;$B232&amp;$C232&amp;$D232,'nres bld data'!Q$3:Q$254)/SUMIF('nres bld data'!$V$3:$V$254,"="&amp;$B232&amp;$C232&amp;$D232,'nres bld data'!$T$3:$T$254),0)</f>
        <v>0</v>
      </c>
      <c r="AA232" s="116">
        <f ca="1">IFERROR(SUMIF('nres bld data'!$V$3:$V$254,"="&amp;$B232&amp;$C232&amp;$D232,'nres bld data'!P$3:P$254)/SUMIF('nres bld data'!$W$256:$W$297,"="&amp;$B232&amp;$C232,'nres bld data'!P$256:P$297),0)</f>
        <v>0.30790133630452515</v>
      </c>
      <c r="AB232" s="116">
        <f ca="1">IFERROR(SUMIF('nres bld data'!$V$3:$V$254,"="&amp;$B232&amp;$C232&amp;$D232,'nres bld data'!Q$3:Q$254)/SUMIF('nres bld data'!$W$256:$W$297,"="&amp;$B232&amp;$C232,'nres bld data'!Q$256:Q$297),0)</f>
        <v>0</v>
      </c>
    </row>
    <row r="233" spans="2:28">
      <c r="B233" s="20" t="s">
        <v>10</v>
      </c>
      <c r="C233" s="20" t="s">
        <v>463</v>
      </c>
      <c r="D233" s="20" t="s">
        <v>437</v>
      </c>
      <c r="E233" s="55">
        <f t="shared" ca="1" si="0"/>
        <v>0</v>
      </c>
      <c r="F233" s="55">
        <f t="shared" ca="1" si="1"/>
        <v>0</v>
      </c>
      <c r="G233" s="21">
        <f>IFERROR(SUMIF('nres bld data'!$A$3:$A$38,B233&amp;C233,'nres bld data'!$D$3:$D$38),0)</f>
        <v>0</v>
      </c>
      <c r="H233" s="21">
        <f t="shared" ref="H233:I233" ca="1" si="237">$T233*U233</f>
        <v>0</v>
      </c>
      <c r="I233" s="21">
        <f t="shared" ca="1" si="237"/>
        <v>0</v>
      </c>
      <c r="J233" s="21"/>
      <c r="K233" s="21"/>
      <c r="S233" s="114"/>
      <c r="T233" s="22">
        <f ca="1">G233/SUMIF('nres bld data'!$B$3:$B$38,$B233,'nres bld data'!$D$3:$D$38)</f>
        <v>0</v>
      </c>
      <c r="U233" s="21">
        <f>SUMIFS('Projections by County'!$D$10:$D$36,'Projections by County'!$A$10:$A$36,$B233,'Projections by County'!$C$10:$C$36,"Electricity (kWh)",'Projections by County'!$B$10:$B$36,"Commercial")*BTU_per_kWh/1000000</f>
        <v>8748576.3686132394</v>
      </c>
      <c r="V233" s="21">
        <f>SUMIFS('Projections by County'!$D$10:$D$36,'Projections by County'!$A$10:$A$36,$B233,'Projections by County'!$C$10:$C$36,"Natural Gas",'Projections by County'!$B$10:$B$36,"Commercial")</f>
        <v>9705752.7609999999</v>
      </c>
      <c r="W233" s="20"/>
      <c r="X233" s="116">
        <f>IFERROR(SUMIF('nres bld data'!$V$3:$V$254,"="&amp;$B233&amp;$C233&amp;$D233,'nres bld data'!P$3:P$254)/SUMIF('nres bld data'!$V$3:$V$254,"="&amp;$B233&amp;$C233&amp;$D233,'nres bld data'!$T$3:$T$254),0)</f>
        <v>1</v>
      </c>
      <c r="Y233" s="116">
        <f>IFERROR(SUMIF('nres bld data'!$V$3:$V$254,"="&amp;$B233&amp;$C233&amp;$D233,'nres bld data'!Q$3:Q$254)/SUMIF('nres bld data'!$V$3:$V$254,"="&amp;$B233&amp;$C233&amp;$D233,'nres bld data'!$T$3:$T$254),0)</f>
        <v>0</v>
      </c>
      <c r="AA233" s="116">
        <f ca="1">IFERROR(SUMIF('nres bld data'!$V$3:$V$254,"="&amp;$B233&amp;$C233&amp;$D233,'nres bld data'!P$3:P$254)/SUMIF('nres bld data'!$W$256:$W$297,"="&amp;$B233&amp;$C233,'nres bld data'!P$256:P$297),0)</f>
        <v>0.27633436814574897</v>
      </c>
      <c r="AB233" s="116">
        <f ca="1">IFERROR(SUMIF('nres bld data'!$V$3:$V$254,"="&amp;$B233&amp;$C233&amp;$D233,'nres bld data'!Q$3:Q$254)/SUMIF('nres bld data'!$W$256:$W$297,"="&amp;$B233&amp;$C233,'nres bld data'!Q$256:Q$297),0)</f>
        <v>0</v>
      </c>
    </row>
    <row r="234" spans="2:28">
      <c r="B234" s="20" t="s">
        <v>10</v>
      </c>
      <c r="C234" s="20" t="s">
        <v>463</v>
      </c>
      <c r="D234" s="20" t="s">
        <v>440</v>
      </c>
      <c r="E234" s="55">
        <f t="shared" ca="1" si="0"/>
        <v>0</v>
      </c>
      <c r="F234" s="55">
        <f t="shared" ca="1" si="1"/>
        <v>0</v>
      </c>
      <c r="G234" s="21">
        <f>IFERROR(SUMIF('nres bld data'!$A$3:$A$38,B234&amp;C234,'nres bld data'!$D$3:$D$38),0)</f>
        <v>0</v>
      </c>
      <c r="H234" s="21">
        <f t="shared" ref="H234:I234" ca="1" si="238">$T234*U234</f>
        <v>0</v>
      </c>
      <c r="I234" s="21">
        <f t="shared" ca="1" si="238"/>
        <v>0</v>
      </c>
      <c r="J234" s="21"/>
      <c r="K234" s="21"/>
      <c r="S234" s="114"/>
      <c r="T234" s="22">
        <f ca="1">G234/SUMIF('nres bld data'!$B$3:$B$38,$B234,'nres bld data'!$D$3:$D$38)</f>
        <v>0</v>
      </c>
      <c r="U234" s="21">
        <f>SUMIFS('Projections by County'!$D$10:$D$36,'Projections by County'!$A$10:$A$36,$B234,'Projections by County'!$C$10:$C$36,"Electricity (kWh)",'Projections by County'!$B$10:$B$36,"Commercial")*BTU_per_kWh/1000000</f>
        <v>8748576.3686132394</v>
      </c>
      <c r="V234" s="21">
        <f>SUMIFS('Projections by County'!$D$10:$D$36,'Projections by County'!$A$10:$A$36,$B234,'Projections by County'!$C$10:$C$36,"Natural Gas",'Projections by County'!$B$10:$B$36,"Commercial")</f>
        <v>9705752.7609999999</v>
      </c>
      <c r="W234" s="20"/>
      <c r="X234" s="116">
        <f>IFERROR(SUMIF('nres bld data'!$V$3:$V$254,"="&amp;$B234&amp;$C234&amp;$D234,'nres bld data'!P$3:P$254)/SUMIF('nres bld data'!$V$3:$V$254,"="&amp;$B234&amp;$C234&amp;$D234,'nres bld data'!$T$3:$T$254),0)</f>
        <v>1</v>
      </c>
      <c r="Y234" s="116">
        <f>IFERROR(SUMIF('nres bld data'!$V$3:$V$254,"="&amp;$B234&amp;$C234&amp;$D234,'nres bld data'!Q$3:Q$254)/SUMIF('nres bld data'!$V$3:$V$254,"="&amp;$B234&amp;$C234&amp;$D234,'nres bld data'!$T$3:$T$254),0)</f>
        <v>0</v>
      </c>
      <c r="AA234" s="116">
        <f ca="1">IFERROR(SUMIF('nres bld data'!$V$3:$V$254,"="&amp;$B234&amp;$C234&amp;$D234,'nres bld data'!P$3:P$254)/SUMIF('nres bld data'!$W$256:$W$297,"="&amp;$B234&amp;$C234,'nres bld data'!P$256:P$297),0)</f>
        <v>0.17674517229300452</v>
      </c>
      <c r="AB234" s="116">
        <f ca="1">IFERROR(SUMIF('nres bld data'!$V$3:$V$254,"="&amp;$B234&amp;$C234&amp;$D234,'nres bld data'!Q$3:Q$254)/SUMIF('nres bld data'!$W$256:$W$297,"="&amp;$B234&amp;$C234,'nres bld data'!Q$256:Q$297),0)</f>
        <v>0</v>
      </c>
    </row>
    <row r="235" spans="2:28">
      <c r="B235" s="20" t="s">
        <v>10</v>
      </c>
      <c r="C235" s="20" t="s">
        <v>463</v>
      </c>
      <c r="D235" s="20" t="s">
        <v>443</v>
      </c>
      <c r="E235" s="55">
        <f t="shared" ca="1" si="0"/>
        <v>0</v>
      </c>
      <c r="F235" s="55">
        <f t="shared" ca="1" si="1"/>
        <v>0</v>
      </c>
      <c r="G235" s="21">
        <f>IFERROR(SUMIF('nres bld data'!$A$3:$A$38,B235&amp;C235,'nres bld data'!$D$3:$D$38),0)</f>
        <v>0</v>
      </c>
      <c r="H235" s="21">
        <f t="shared" ref="H235:I235" ca="1" si="239">$T235*U235</f>
        <v>0</v>
      </c>
      <c r="I235" s="21">
        <f t="shared" ca="1" si="239"/>
        <v>0</v>
      </c>
      <c r="J235" s="21"/>
      <c r="K235" s="21"/>
      <c r="S235" s="114"/>
      <c r="T235" s="22">
        <f ca="1">G235/SUMIF('nres bld data'!$B$3:$B$38,$B235,'nres bld data'!$D$3:$D$38)</f>
        <v>0</v>
      </c>
      <c r="U235" s="21">
        <f>SUMIFS('Projections by County'!$D$10:$D$36,'Projections by County'!$A$10:$A$36,$B235,'Projections by County'!$C$10:$C$36,"Electricity (kWh)",'Projections by County'!$B$10:$B$36,"Commercial")*BTU_per_kWh/1000000</f>
        <v>8748576.3686132394</v>
      </c>
      <c r="V235" s="21">
        <f>SUMIFS('Projections by County'!$D$10:$D$36,'Projections by County'!$A$10:$A$36,$B235,'Projections by County'!$C$10:$C$36,"Natural Gas",'Projections by County'!$B$10:$B$36,"Commercial")</f>
        <v>9705752.7609999999</v>
      </c>
      <c r="W235" s="20"/>
      <c r="X235" s="116">
        <f>IFERROR(SUMIF('nres bld data'!$V$3:$V$254,"="&amp;$B235&amp;$C235&amp;$D235,'nres bld data'!P$3:P$254)/SUMIF('nres bld data'!$V$3:$V$254,"="&amp;$B235&amp;$C235&amp;$D235,'nres bld data'!$T$3:$T$254),0)</f>
        <v>0.1592711571302616</v>
      </c>
      <c r="Y235" s="116">
        <f>IFERROR(SUMIF('nres bld data'!$V$3:$V$254,"="&amp;$B235&amp;$C235&amp;$D235,'nres bld data'!Q$3:Q$254)/SUMIF('nres bld data'!$V$3:$V$254,"="&amp;$B235&amp;$C235&amp;$D235,'nres bld data'!$T$3:$T$254),0)</f>
        <v>0.80487627209452195</v>
      </c>
      <c r="AA235" s="116">
        <f ca="1">IFERROR(SUMIF('nres bld data'!$V$3:$V$254,"="&amp;$B235&amp;$C235&amp;$D235,'nres bld data'!P$3:P$254)/SUMIF('nres bld data'!$W$256:$W$297,"="&amp;$B235&amp;$C235,'nres bld data'!P$256:P$297),0)</f>
        <v>9.0195522132457323E-2</v>
      </c>
      <c r="AB235" s="116">
        <f ca="1">IFERROR(SUMIF('nres bld data'!$V$3:$V$254,"="&amp;$B235&amp;$C235&amp;$D235,'nres bld data'!Q$3:Q$254)/SUMIF('nres bld data'!$W$256:$W$297,"="&amp;$B235&amp;$C235,'nres bld data'!Q$256:Q$297),0)</f>
        <v>0.87141456550144036</v>
      </c>
    </row>
    <row r="236" spans="2:28">
      <c r="B236" s="20" t="s">
        <v>10</v>
      </c>
      <c r="C236" s="20" t="s">
        <v>463</v>
      </c>
      <c r="D236" s="20" t="s">
        <v>445</v>
      </c>
      <c r="E236" s="55">
        <f t="shared" ca="1" si="0"/>
        <v>0</v>
      </c>
      <c r="F236" s="55">
        <f t="shared" ca="1" si="1"/>
        <v>0</v>
      </c>
      <c r="G236" s="21">
        <f>IFERROR(SUMIF('nres bld data'!$A$3:$A$38,B236&amp;C236,'nres bld data'!$D$3:$D$38),0)</f>
        <v>0</v>
      </c>
      <c r="H236" s="21">
        <f t="shared" ref="H236:I236" ca="1" si="240">$T236*U236</f>
        <v>0</v>
      </c>
      <c r="I236" s="21">
        <f t="shared" ca="1" si="240"/>
        <v>0</v>
      </c>
      <c r="J236" s="21"/>
      <c r="K236" s="21"/>
      <c r="S236" s="114"/>
      <c r="T236" s="22">
        <f ca="1">G236/SUMIF('nres bld data'!$B$3:$B$38,$B236,'nres bld data'!$D$3:$D$38)</f>
        <v>0</v>
      </c>
      <c r="U236" s="21">
        <f>SUMIFS('Projections by County'!$D$10:$D$36,'Projections by County'!$A$10:$A$36,$B236,'Projections by County'!$C$10:$C$36,"Electricity (kWh)",'Projections by County'!$B$10:$B$36,"Commercial")*BTU_per_kWh/1000000</f>
        <v>8748576.3686132394</v>
      </c>
      <c r="V236" s="21">
        <f>SUMIFS('Projections by County'!$D$10:$D$36,'Projections by County'!$A$10:$A$36,$B236,'Projections by County'!$C$10:$C$36,"Natural Gas",'Projections by County'!$B$10:$B$36,"Commercial")</f>
        <v>9705752.7609999999</v>
      </c>
      <c r="W236" s="20"/>
      <c r="X236" s="116">
        <f>IFERROR(SUMIF('nres bld data'!$V$3:$V$254,"="&amp;$B236&amp;$C236&amp;$D236,'nres bld data'!P$3:P$254)/SUMIF('nres bld data'!$V$3:$V$254,"="&amp;$B236&amp;$C236&amp;$D236,'nres bld data'!$T$3:$T$254),0)</f>
        <v>0.63573122298051821</v>
      </c>
      <c r="Y236" s="116">
        <f>IFERROR(SUMIF('nres bld data'!$V$3:$V$254,"="&amp;$B236&amp;$C236&amp;$D236,'nres bld data'!Q$3:Q$254)/SUMIF('nres bld data'!$V$3:$V$254,"="&amp;$B236&amp;$C236&amp;$D236,'nres bld data'!$T$3:$T$254),0)</f>
        <v>0.32883262182211165</v>
      </c>
      <c r="AA236" s="116">
        <f ca="1">IFERROR(SUMIF('nres bld data'!$V$3:$V$254,"="&amp;$B236&amp;$C236&amp;$D236,'nres bld data'!P$3:P$254)/SUMIF('nres bld data'!$W$256:$W$297,"="&amp;$B236&amp;$C236,'nres bld data'!P$256:P$297),0)</f>
        <v>4.6360506611507743E-2</v>
      </c>
      <c r="AB236" s="116">
        <f ca="1">IFERROR(SUMIF('nres bld data'!$V$3:$V$254,"="&amp;$B236&amp;$C236&amp;$D236,'nres bld data'!Q$3:Q$254)/SUMIF('nres bld data'!$W$256:$W$297,"="&amp;$B236&amp;$C236,'nres bld data'!Q$256:Q$297),0)</f>
        <v>4.5845569844218108E-2</v>
      </c>
    </row>
    <row r="237" spans="2:28">
      <c r="B237" s="20" t="s">
        <v>10</v>
      </c>
      <c r="C237" s="20" t="s">
        <v>438</v>
      </c>
      <c r="D237" s="20" t="s">
        <v>429</v>
      </c>
      <c r="E237" s="55">
        <f t="shared" ca="1" si="0"/>
        <v>1.2769997771356213E-2</v>
      </c>
      <c r="F237" s="55">
        <f t="shared" ca="1" si="1"/>
        <v>8.1924183769586881E-3</v>
      </c>
      <c r="G237" s="21">
        <f ca="1">IFERROR(SUMIF('nres bld data'!$A$3:$A$38,B237&amp;C237,'nres bld data'!$D$3:$D$38),0)</f>
        <v>7826533</v>
      </c>
      <c r="H237" s="21">
        <f t="shared" ref="H237:I237" ca="1" si="241">$T237*U237</f>
        <v>334801.55332289019</v>
      </c>
      <c r="I237" s="21">
        <f t="shared" ca="1" si="241"/>
        <v>371431.98660398932</v>
      </c>
      <c r="J237" s="21"/>
      <c r="K237" s="21"/>
      <c r="S237" s="114"/>
      <c r="T237" s="22">
        <f ca="1">G237/SUMIF('nres bld data'!$B$3:$B$38,$B237,'nres bld data'!$D$3:$D$38)</f>
        <v>3.826926110218782E-2</v>
      </c>
      <c r="U237" s="21">
        <f>SUMIFS('Projections by County'!$D$10:$D$36,'Projections by County'!$A$10:$A$36,$B237,'Projections by County'!$C$10:$C$36,"Electricity (kWh)",'Projections by County'!$B$10:$B$36,"Commercial")*BTU_per_kWh/1000000</f>
        <v>8748576.3686132394</v>
      </c>
      <c r="V237" s="21">
        <f>SUMIFS('Projections by County'!$D$10:$D$36,'Projections by County'!$A$10:$A$36,$B237,'Projections by County'!$C$10:$C$36,"Natural Gas",'Projections by County'!$B$10:$B$36,"Commercial")</f>
        <v>9705752.7609999999</v>
      </c>
      <c r="W237" s="20"/>
      <c r="X237" s="116">
        <f>IFERROR(SUMIF('nres bld data'!$V$3:$V$254,"="&amp;$B237&amp;$C237&amp;$D237,'nres bld data'!P$3:P$254)/SUMIF('nres bld data'!$V$3:$V$254,"="&amp;$B237&amp;$C237&amp;$D237,'nres bld data'!$T$3:$T$254),0)</f>
        <v>0.69761695992650108</v>
      </c>
      <c r="Y237" s="116">
        <f>IFERROR(SUMIF('nres bld data'!$V$3:$V$254,"="&amp;$B237&amp;$C237&amp;$D237,'nres bld data'!Q$3:Q$254)/SUMIF('nres bld data'!$V$3:$V$254,"="&amp;$B237&amp;$C237&amp;$D237,'nres bld data'!$T$3:$T$254),0)</f>
        <v>0.30238304007349881</v>
      </c>
      <c r="AA237" s="116">
        <f ca="1">IFERROR(SUMIF('nres bld data'!$V$3:$V$254,"="&amp;$B237&amp;$C237&amp;$D237,'nres bld data'!P$3:P$254)/SUMIF('nres bld data'!$W$256:$W$297,"="&amp;$B237&amp;$C237,'nres bld data'!P$256:P$297),0)</f>
        <v>0.29851954979150536</v>
      </c>
      <c r="AB237" s="116">
        <f ca="1">IFERROR(SUMIF('nres bld data'!$V$3:$V$254,"="&amp;$B237&amp;$C237&amp;$D237,'nres bld data'!Q$3:Q$254)/SUMIF('nres bld data'!$W$256:$W$297,"="&amp;$B237&amp;$C237,'nres bld data'!Q$256:Q$297),0)</f>
        <v>0.17262442409257209</v>
      </c>
    </row>
    <row r="238" spans="2:28">
      <c r="B238" s="20" t="s">
        <v>10</v>
      </c>
      <c r="C238" s="20" t="s">
        <v>438</v>
      </c>
      <c r="D238" s="20" t="s">
        <v>433</v>
      </c>
      <c r="E238" s="55">
        <f t="shared" ca="1" si="0"/>
        <v>1.0893092708801155E-2</v>
      </c>
      <c r="F238" s="55">
        <f t="shared" ca="1" si="1"/>
        <v>0</v>
      </c>
      <c r="G238" s="21">
        <f ca="1">IFERROR(SUMIF('nres bld data'!$A$3:$A$38,B238&amp;C238,'nres bld data'!$D$3:$D$38),0)</f>
        <v>7826533</v>
      </c>
      <c r="H238" s="21">
        <f t="shared" ref="H238:I238" ca="1" si="242">$T238*U238</f>
        <v>334801.55332289019</v>
      </c>
      <c r="I238" s="21">
        <f t="shared" ca="1" si="242"/>
        <v>371431.98660398932</v>
      </c>
      <c r="J238" s="21"/>
      <c r="K238" s="21"/>
      <c r="S238" s="114"/>
      <c r="T238" s="22">
        <f ca="1">G238/SUMIF('nres bld data'!$B$3:$B$38,$B238,'nres bld data'!$D$3:$D$38)</f>
        <v>3.826926110218782E-2</v>
      </c>
      <c r="U238" s="21">
        <f>SUMIFS('Projections by County'!$D$10:$D$36,'Projections by County'!$A$10:$A$36,$B238,'Projections by County'!$C$10:$C$36,"Electricity (kWh)",'Projections by County'!$B$10:$B$36,"Commercial")*BTU_per_kWh/1000000</f>
        <v>8748576.3686132394</v>
      </c>
      <c r="V238" s="21">
        <f>SUMIFS('Projections by County'!$D$10:$D$36,'Projections by County'!$A$10:$A$36,$B238,'Projections by County'!$C$10:$C$36,"Natural Gas",'Projections by County'!$B$10:$B$36,"Commercial")</f>
        <v>9705752.7609999999</v>
      </c>
      <c r="W238" s="20"/>
      <c r="X238" s="116">
        <f>IFERROR(SUMIF('nres bld data'!$V$3:$V$254,"="&amp;$B238&amp;$C238&amp;$D238,'nres bld data'!P$3:P$254)/SUMIF('nres bld data'!$V$3:$V$254,"="&amp;$B238&amp;$C238&amp;$D238,'nres bld data'!$T$3:$T$254),0)</f>
        <v>1</v>
      </c>
      <c r="Y238" s="116">
        <f>IFERROR(SUMIF('nres bld data'!$V$3:$V$254,"="&amp;$B238&amp;$C238&amp;$D238,'nres bld data'!Q$3:Q$254)/SUMIF('nres bld data'!$V$3:$V$254,"="&amp;$B238&amp;$C238&amp;$D238,'nres bld data'!$T$3:$T$254),0)</f>
        <v>0</v>
      </c>
      <c r="AA238" s="116">
        <f ca="1">IFERROR(SUMIF('nres bld data'!$V$3:$V$254,"="&amp;$B238&amp;$C238&amp;$D238,'nres bld data'!P$3:P$254)/SUMIF('nres bld data'!$W$256:$W$297,"="&amp;$B238&amp;$C238,'nres bld data'!P$256:P$297),0)</f>
        <v>0.25464382919176493</v>
      </c>
      <c r="AB238" s="116">
        <f ca="1">IFERROR(SUMIF('nres bld data'!$V$3:$V$254,"="&amp;$B238&amp;$C238&amp;$D238,'nres bld data'!Q$3:Q$254)/SUMIF('nres bld data'!$W$256:$W$297,"="&amp;$B238&amp;$C238,'nres bld data'!Q$256:Q$297),0)</f>
        <v>0</v>
      </c>
    </row>
    <row r="239" spans="2:28">
      <c r="B239" s="20" t="s">
        <v>10</v>
      </c>
      <c r="C239" s="20" t="s">
        <v>438</v>
      </c>
      <c r="D239" s="20" t="s">
        <v>437</v>
      </c>
      <c r="E239" s="55">
        <f t="shared" ca="1" si="0"/>
        <v>9.6407924548422928E-3</v>
      </c>
      <c r="F239" s="55">
        <f t="shared" ca="1" si="1"/>
        <v>0</v>
      </c>
      <c r="G239" s="21">
        <f ca="1">IFERROR(SUMIF('nres bld data'!$A$3:$A$38,B239&amp;C239,'nres bld data'!$D$3:$D$38),0)</f>
        <v>7826533</v>
      </c>
      <c r="H239" s="21">
        <f t="shared" ref="H239:I239" ca="1" si="243">$T239*U239</f>
        <v>334801.55332289019</v>
      </c>
      <c r="I239" s="21">
        <f t="shared" ca="1" si="243"/>
        <v>371431.98660398932</v>
      </c>
      <c r="J239" s="21"/>
      <c r="K239" s="21"/>
      <c r="S239" s="114"/>
      <c r="T239" s="22">
        <f ca="1">G239/SUMIF('nres bld data'!$B$3:$B$38,$B239,'nres bld data'!$D$3:$D$38)</f>
        <v>3.826926110218782E-2</v>
      </c>
      <c r="U239" s="21">
        <f>SUMIFS('Projections by County'!$D$10:$D$36,'Projections by County'!$A$10:$A$36,$B239,'Projections by County'!$C$10:$C$36,"Electricity (kWh)",'Projections by County'!$B$10:$B$36,"Commercial")*BTU_per_kWh/1000000</f>
        <v>8748576.3686132394</v>
      </c>
      <c r="V239" s="21">
        <f>SUMIFS('Projections by County'!$D$10:$D$36,'Projections by County'!$A$10:$A$36,$B239,'Projections by County'!$C$10:$C$36,"Natural Gas",'Projections by County'!$B$10:$B$36,"Commercial")</f>
        <v>9705752.7609999999</v>
      </c>
      <c r="W239" s="20"/>
      <c r="X239" s="116">
        <f>IFERROR(SUMIF('nres bld data'!$V$3:$V$254,"="&amp;$B239&amp;$C239&amp;$D239,'nres bld data'!P$3:P$254)/SUMIF('nres bld data'!$V$3:$V$254,"="&amp;$B239&amp;$C239&amp;$D239,'nres bld data'!$T$3:$T$254),0)</f>
        <v>1</v>
      </c>
      <c r="Y239" s="116">
        <f>IFERROR(SUMIF('nres bld data'!$V$3:$V$254,"="&amp;$B239&amp;$C239&amp;$D239,'nres bld data'!Q$3:Q$254)/SUMIF('nres bld data'!$V$3:$V$254,"="&amp;$B239&amp;$C239&amp;$D239,'nres bld data'!$T$3:$T$254),0)</f>
        <v>0</v>
      </c>
      <c r="AA239" s="116">
        <f ca="1">IFERROR(SUMIF('nres bld data'!$V$3:$V$254,"="&amp;$B239&amp;$C239&amp;$D239,'nres bld data'!P$3:P$254)/SUMIF('nres bld data'!$W$256:$W$297,"="&amp;$B239&amp;$C239,'nres bld data'!P$256:P$297),0)</f>
        <v>0.22536926589825193</v>
      </c>
      <c r="AB239" s="116">
        <f ca="1">IFERROR(SUMIF('nres bld data'!$V$3:$V$254,"="&amp;$B239&amp;$C239&amp;$D239,'nres bld data'!Q$3:Q$254)/SUMIF('nres bld data'!$W$256:$W$297,"="&amp;$B239&amp;$C239,'nres bld data'!Q$256:Q$297),0)</f>
        <v>0</v>
      </c>
    </row>
    <row r="240" spans="2:28">
      <c r="B240" s="20" t="s">
        <v>10</v>
      </c>
      <c r="C240" s="20" t="s">
        <v>438</v>
      </c>
      <c r="D240" s="20" t="s">
        <v>440</v>
      </c>
      <c r="E240" s="55">
        <f t="shared" ca="1" si="0"/>
        <v>6.4967618553088248E-3</v>
      </c>
      <c r="F240" s="55">
        <f t="shared" ca="1" si="1"/>
        <v>0</v>
      </c>
      <c r="G240" s="21">
        <f ca="1">IFERROR(SUMIF('nres bld data'!$A$3:$A$38,B240&amp;C240,'nres bld data'!$D$3:$D$38),0)</f>
        <v>7826533</v>
      </c>
      <c r="H240" s="21">
        <f t="shared" ref="H240:I240" ca="1" si="244">$T240*U240</f>
        <v>334801.55332289019</v>
      </c>
      <c r="I240" s="21">
        <f t="shared" ca="1" si="244"/>
        <v>371431.98660398932</v>
      </c>
      <c r="J240" s="21"/>
      <c r="K240" s="21"/>
      <c r="S240" s="114"/>
      <c r="T240" s="22">
        <f ca="1">G240/SUMIF('nres bld data'!$B$3:$B$38,$B240,'nres bld data'!$D$3:$D$38)</f>
        <v>3.826926110218782E-2</v>
      </c>
      <c r="U240" s="21">
        <f>SUMIFS('Projections by County'!$D$10:$D$36,'Projections by County'!$A$10:$A$36,$B240,'Projections by County'!$C$10:$C$36,"Electricity (kWh)",'Projections by County'!$B$10:$B$36,"Commercial")*BTU_per_kWh/1000000</f>
        <v>8748576.3686132394</v>
      </c>
      <c r="V240" s="21">
        <f>SUMIFS('Projections by County'!$D$10:$D$36,'Projections by County'!$A$10:$A$36,$B240,'Projections by County'!$C$10:$C$36,"Natural Gas",'Projections by County'!$B$10:$B$36,"Commercial")</f>
        <v>9705752.7609999999</v>
      </c>
      <c r="W240" s="20"/>
      <c r="X240" s="116">
        <f>IFERROR(SUMIF('nres bld data'!$V$3:$V$254,"="&amp;$B240&amp;$C240&amp;$D240,'nres bld data'!P$3:P$254)/SUMIF('nres bld data'!$V$3:$V$254,"="&amp;$B240&amp;$C240&amp;$D240,'nres bld data'!$T$3:$T$254),0)</f>
        <v>1</v>
      </c>
      <c r="Y240" s="116">
        <f>IFERROR(SUMIF('nres bld data'!$V$3:$V$254,"="&amp;$B240&amp;$C240&amp;$D240,'nres bld data'!Q$3:Q$254)/SUMIF('nres bld data'!$V$3:$V$254,"="&amp;$B240&amp;$C240&amp;$D240,'nres bld data'!$T$3:$T$254),0)</f>
        <v>0</v>
      </c>
      <c r="AA240" s="116">
        <f ca="1">IFERROR(SUMIF('nres bld data'!$V$3:$V$254,"="&amp;$B240&amp;$C240&amp;$D240,'nres bld data'!P$3:P$254)/SUMIF('nres bld data'!$W$256:$W$297,"="&amp;$B240&amp;$C240,'nres bld data'!P$256:P$297),0)</f>
        <v>0.15187241680649441</v>
      </c>
      <c r="AB240" s="116">
        <f ca="1">IFERROR(SUMIF('nres bld data'!$V$3:$V$254,"="&amp;$B240&amp;$C240&amp;$D240,'nres bld data'!Q$3:Q$254)/SUMIF('nres bld data'!$W$256:$W$297,"="&amp;$B240&amp;$C240,'nres bld data'!Q$256:Q$297),0)</f>
        <v>0</v>
      </c>
    </row>
    <row r="241" spans="2:28">
      <c r="B241" s="20" t="s">
        <v>10</v>
      </c>
      <c r="C241" s="20" t="s">
        <v>438</v>
      </c>
      <c r="D241" s="20" t="s">
        <v>443</v>
      </c>
      <c r="E241" s="55">
        <f t="shared" ca="1" si="0"/>
        <v>1.5660370680116004E-3</v>
      </c>
      <c r="F241" s="55">
        <f t="shared" ca="1" si="1"/>
        <v>2.6646020065322927E-2</v>
      </c>
      <c r="G241" s="21">
        <f ca="1">IFERROR(SUMIF('nres bld data'!$A$3:$A$38,B241&amp;C241,'nres bld data'!$D$3:$D$38),0)</f>
        <v>7826533</v>
      </c>
      <c r="H241" s="21">
        <f t="shared" ref="H241:I241" ca="1" si="245">$T241*U241</f>
        <v>334801.55332289019</v>
      </c>
      <c r="I241" s="21">
        <f t="shared" ca="1" si="245"/>
        <v>371431.98660398932</v>
      </c>
      <c r="J241" s="21"/>
      <c r="K241" s="21"/>
      <c r="S241" s="114"/>
      <c r="T241" s="22">
        <f ca="1">G241/SUMIF('nres bld data'!$B$3:$B$38,$B241,'nres bld data'!$D$3:$D$38)</f>
        <v>3.826926110218782E-2</v>
      </c>
      <c r="U241" s="21">
        <f>SUMIFS('Projections by County'!$D$10:$D$36,'Projections by County'!$A$10:$A$36,$B241,'Projections by County'!$C$10:$C$36,"Electricity (kWh)",'Projections by County'!$B$10:$B$36,"Commercial")*BTU_per_kWh/1000000</f>
        <v>8748576.3686132394</v>
      </c>
      <c r="V241" s="21">
        <f>SUMIFS('Projections by County'!$D$10:$D$36,'Projections by County'!$A$10:$A$36,$B241,'Projections by County'!$C$10:$C$36,"Natural Gas",'Projections by County'!$B$10:$B$36,"Commercial")</f>
        <v>9705752.7609999999</v>
      </c>
      <c r="W241" s="20"/>
      <c r="X241" s="116">
        <f>IFERROR(SUMIF('nres bld data'!$V$3:$V$254,"="&amp;$B241&amp;$C241&amp;$D241,'nres bld data'!P$3:P$254)/SUMIF('nres bld data'!$V$3:$V$254,"="&amp;$B241&amp;$C241&amp;$D241,'nres bld data'!$T$3:$T$254),0)</f>
        <v>8.0025158123721574E-2</v>
      </c>
      <c r="Y241" s="116">
        <f>IFERROR(SUMIF('nres bld data'!$V$3:$V$254,"="&amp;$B241&amp;$C241&amp;$D241,'nres bld data'!Q$3:Q$254)/SUMIF('nres bld data'!$V$3:$V$254,"="&amp;$B241&amp;$C241&amp;$D241,'nres bld data'!$T$3:$T$254),0)</f>
        <v>0.91997484187627843</v>
      </c>
      <c r="AA241" s="116">
        <f ca="1">IFERROR(SUMIF('nres bld data'!$V$3:$V$254,"="&amp;$B241&amp;$C241&amp;$D241,'nres bld data'!P$3:P$254)/SUMIF('nres bld data'!$W$256:$W$297,"="&amp;$B241&amp;$C241,'nres bld data'!P$256:P$297),0)</f>
        <v>3.6608673616861785E-2</v>
      </c>
      <c r="AB241" s="116">
        <f ca="1">IFERROR(SUMIF('nres bld data'!$V$3:$V$254,"="&amp;$B241&amp;$C241&amp;$D241,'nres bld data'!Q$3:Q$254)/SUMIF('nres bld data'!$W$256:$W$297,"="&amp;$B241&amp;$C241,'nres bld data'!Q$256:Q$297),0)</f>
        <v>0.5614647173138001</v>
      </c>
    </row>
    <row r="242" spans="2:28">
      <c r="B242" s="20" t="s">
        <v>10</v>
      </c>
      <c r="C242" s="20" t="s">
        <v>438</v>
      </c>
      <c r="D242" s="20" t="s">
        <v>445</v>
      </c>
      <c r="E242" s="55">
        <f t="shared" ca="1" si="0"/>
        <v>1.4110785271392501E-3</v>
      </c>
      <c r="F242" s="55">
        <f t="shared" ca="1" si="1"/>
        <v>1.2619610556424363E-2</v>
      </c>
      <c r="G242" s="21">
        <f ca="1">IFERROR(SUMIF('nres bld data'!$A$3:$A$38,B242&amp;C242,'nres bld data'!$D$3:$D$38),0)</f>
        <v>7826533</v>
      </c>
      <c r="H242" s="21">
        <f t="shared" ref="H242:I242" ca="1" si="246">$T242*U242</f>
        <v>334801.55332289019</v>
      </c>
      <c r="I242" s="21">
        <f t="shared" ca="1" si="246"/>
        <v>371431.98660398932</v>
      </c>
      <c r="J242" s="21"/>
      <c r="K242" s="21"/>
      <c r="S242" s="114"/>
      <c r="T242" s="22">
        <f ca="1">G242/SUMIF('nres bld data'!$B$3:$B$38,$B242,'nres bld data'!$D$3:$D$38)</f>
        <v>3.826926110218782E-2</v>
      </c>
      <c r="U242" s="21">
        <f>SUMIFS('Projections by County'!$D$10:$D$36,'Projections by County'!$A$10:$A$36,$B242,'Projections by County'!$C$10:$C$36,"Electricity (kWh)",'Projections by County'!$B$10:$B$36,"Commercial")*BTU_per_kWh/1000000</f>
        <v>8748576.3686132394</v>
      </c>
      <c r="V242" s="21">
        <f>SUMIFS('Projections by County'!$D$10:$D$36,'Projections by County'!$A$10:$A$36,$B242,'Projections by County'!$C$10:$C$36,"Natural Gas",'Projections by County'!$B$10:$B$36,"Commercial")</f>
        <v>9705752.7609999999</v>
      </c>
      <c r="W242" s="20"/>
      <c r="X242" s="116">
        <f>IFERROR(SUMIF('nres bld data'!$V$3:$V$254,"="&amp;$B242&amp;$C242&amp;$D242,'nres bld data'!P$3:P$254)/SUMIF('nres bld data'!$V$3:$V$254,"="&amp;$B242&amp;$C242&amp;$D242,'nres bld data'!$T$3:$T$254),0)</f>
        <v>0.1419958135256319</v>
      </c>
      <c r="Y242" s="116">
        <f>IFERROR(SUMIF('nres bld data'!$V$3:$V$254,"="&amp;$B242&amp;$C242&amp;$D242,'nres bld data'!Q$3:Q$254)/SUMIF('nres bld data'!$V$3:$V$254,"="&amp;$B242&amp;$C242&amp;$D242,'nres bld data'!$T$3:$T$254),0)</f>
        <v>0.85800418647436805</v>
      </c>
      <c r="AA242" s="116">
        <f ca="1">IFERROR(SUMIF('nres bld data'!$V$3:$V$254,"="&amp;$B242&amp;$C242&amp;$D242,'nres bld data'!P$3:P$254)/SUMIF('nres bld data'!$W$256:$W$297,"="&amp;$B242&amp;$C242,'nres bld data'!P$256:P$297),0)</f>
        <v>3.2986264695121635E-2</v>
      </c>
      <c r="AB242" s="116">
        <f ca="1">IFERROR(SUMIF('nres bld data'!$V$3:$V$254,"="&amp;$B242&amp;$C242&amp;$D242,'nres bld data'!Q$3:Q$254)/SUMIF('nres bld data'!$W$256:$W$297,"="&amp;$B242&amp;$C242,'nres bld data'!Q$256:Q$297),0)</f>
        <v>0.26591085859362773</v>
      </c>
    </row>
    <row r="243" spans="2:28">
      <c r="B243" s="20" t="s">
        <v>10</v>
      </c>
      <c r="C243" s="20" t="s">
        <v>464</v>
      </c>
      <c r="D243" s="20" t="s">
        <v>429</v>
      </c>
      <c r="E243" s="55">
        <f t="shared" ca="1" si="0"/>
        <v>0</v>
      </c>
      <c r="F243" s="55">
        <f t="shared" ca="1" si="1"/>
        <v>0</v>
      </c>
      <c r="G243" s="21">
        <f>IFERROR(SUMIF('nres bld data'!$A$3:$A$38,B243&amp;C243,'nres bld data'!$D$3:$D$38),0)</f>
        <v>0</v>
      </c>
      <c r="H243" s="21">
        <f t="shared" ref="H243:I243" ca="1" si="247">$T243*U243</f>
        <v>0</v>
      </c>
      <c r="I243" s="21">
        <f t="shared" ca="1" si="247"/>
        <v>0</v>
      </c>
      <c r="J243" s="21"/>
      <c r="K243" s="21"/>
      <c r="S243" s="114"/>
      <c r="T243" s="22">
        <f ca="1">G243/SUMIF('nres bld data'!$B$3:$B$38,$B243,'nres bld data'!$D$3:$D$38)</f>
        <v>0</v>
      </c>
      <c r="U243" s="21">
        <f>SUMIFS('Projections by County'!$D$10:$D$36,'Projections by County'!$A$10:$A$36,$B243,'Projections by County'!$C$10:$C$36,"Electricity (kWh)",'Projections by County'!$B$10:$B$36,"Commercial")*BTU_per_kWh/1000000</f>
        <v>8748576.3686132394</v>
      </c>
      <c r="V243" s="21">
        <f>SUMIFS('Projections by County'!$D$10:$D$36,'Projections by County'!$A$10:$A$36,$B243,'Projections by County'!$C$10:$C$36,"Natural Gas",'Projections by County'!$B$10:$B$36,"Commercial")</f>
        <v>9705752.7609999999</v>
      </c>
      <c r="W243" s="20"/>
      <c r="X243" s="116">
        <f>IFERROR(SUMIF('nres bld data'!$V$3:$V$254,"="&amp;$B243&amp;$C243&amp;$D243,'nres bld data'!P$3:P$254)/SUMIF('nres bld data'!$V$3:$V$254,"="&amp;$B243&amp;$C243&amp;$D243,'nres bld data'!$T$3:$T$254),0)</f>
        <v>1</v>
      </c>
      <c r="Y243" s="116">
        <f>IFERROR(SUMIF('nres bld data'!$V$3:$V$254,"="&amp;$B243&amp;$C243&amp;$D243,'nres bld data'!Q$3:Q$254)/SUMIF('nres bld data'!$V$3:$V$254,"="&amp;$B243&amp;$C243&amp;$D243,'nres bld data'!$T$3:$T$254),0)</f>
        <v>0</v>
      </c>
      <c r="AA243" s="116">
        <f ca="1">IFERROR(SUMIF('nres bld data'!$V$3:$V$254,"="&amp;$B243&amp;$C243&amp;$D243,'nres bld data'!P$3:P$254)/SUMIF('nres bld data'!$W$256:$W$297,"="&amp;$B243&amp;$C243,'nres bld data'!P$256:P$297),0)</f>
        <v>0.37193353377275612</v>
      </c>
      <c r="AB243" s="116">
        <f ca="1">IFERROR(SUMIF('nres bld data'!$V$3:$V$254,"="&amp;$B243&amp;$C243&amp;$D243,'nres bld data'!Q$3:Q$254)/SUMIF('nres bld data'!$W$256:$W$297,"="&amp;$B243&amp;$C243,'nres bld data'!Q$256:Q$297),0)</f>
        <v>0</v>
      </c>
    </row>
    <row r="244" spans="2:28">
      <c r="B244" s="20" t="s">
        <v>10</v>
      </c>
      <c r="C244" s="20" t="s">
        <v>464</v>
      </c>
      <c r="D244" s="20" t="s">
        <v>433</v>
      </c>
      <c r="E244" s="55">
        <f t="shared" ca="1" si="0"/>
        <v>0</v>
      </c>
      <c r="F244" s="55">
        <f t="shared" ca="1" si="1"/>
        <v>0</v>
      </c>
      <c r="G244" s="21">
        <f>IFERROR(SUMIF('nres bld data'!$A$3:$A$38,B244&amp;C244,'nres bld data'!$D$3:$D$38),0)</f>
        <v>0</v>
      </c>
      <c r="H244" s="21">
        <f t="shared" ref="H244:I244" ca="1" si="248">$T244*U244</f>
        <v>0</v>
      </c>
      <c r="I244" s="21">
        <f t="shared" ca="1" si="248"/>
        <v>0</v>
      </c>
      <c r="J244" s="21"/>
      <c r="K244" s="21"/>
      <c r="S244" s="114"/>
      <c r="T244" s="22">
        <f ca="1">G244/SUMIF('nres bld data'!$B$3:$B$38,$B244,'nres bld data'!$D$3:$D$38)</f>
        <v>0</v>
      </c>
      <c r="U244" s="21">
        <f>SUMIFS('Projections by County'!$D$10:$D$36,'Projections by County'!$A$10:$A$36,$B244,'Projections by County'!$C$10:$C$36,"Electricity (kWh)",'Projections by County'!$B$10:$B$36,"Commercial")*BTU_per_kWh/1000000</f>
        <v>8748576.3686132394</v>
      </c>
      <c r="V244" s="21">
        <f>SUMIFS('Projections by County'!$D$10:$D$36,'Projections by County'!$A$10:$A$36,$B244,'Projections by County'!$C$10:$C$36,"Natural Gas",'Projections by County'!$B$10:$B$36,"Commercial")</f>
        <v>9705752.7609999999</v>
      </c>
      <c r="W244" s="20"/>
      <c r="X244" s="116">
        <f>IFERROR(SUMIF('nres bld data'!$V$3:$V$254,"="&amp;$B244&amp;$C244&amp;$D244,'nres bld data'!P$3:P$254)/SUMIF('nres bld data'!$V$3:$V$254,"="&amp;$B244&amp;$C244&amp;$D244,'nres bld data'!$T$3:$T$254),0)</f>
        <v>1</v>
      </c>
      <c r="Y244" s="116">
        <f>IFERROR(SUMIF('nres bld data'!$V$3:$V$254,"="&amp;$B244&amp;$C244&amp;$D244,'nres bld data'!Q$3:Q$254)/SUMIF('nres bld data'!$V$3:$V$254,"="&amp;$B244&amp;$C244&amp;$D244,'nres bld data'!$T$3:$T$254),0)</f>
        <v>0</v>
      </c>
      <c r="AA244" s="116">
        <f ca="1">IFERROR(SUMIF('nres bld data'!$V$3:$V$254,"="&amp;$B244&amp;$C244&amp;$D244,'nres bld data'!P$3:P$254)/SUMIF('nres bld data'!$W$256:$W$297,"="&amp;$B244&amp;$C244,'nres bld data'!P$256:P$297),0)</f>
        <v>0.21543753649598157</v>
      </c>
      <c r="AB244" s="116">
        <f ca="1">IFERROR(SUMIF('nres bld data'!$V$3:$V$254,"="&amp;$B244&amp;$C244&amp;$D244,'nres bld data'!Q$3:Q$254)/SUMIF('nres bld data'!$W$256:$W$297,"="&amp;$B244&amp;$C244,'nres bld data'!Q$256:Q$297),0)</f>
        <v>0</v>
      </c>
    </row>
    <row r="245" spans="2:28">
      <c r="B245" s="20" t="s">
        <v>10</v>
      </c>
      <c r="C245" s="20" t="s">
        <v>464</v>
      </c>
      <c r="D245" s="20" t="s">
        <v>437</v>
      </c>
      <c r="E245" s="55">
        <f t="shared" ca="1" si="0"/>
        <v>0</v>
      </c>
      <c r="F245" s="55">
        <f t="shared" ca="1" si="1"/>
        <v>0</v>
      </c>
      <c r="G245" s="21">
        <f>IFERROR(SUMIF('nres bld data'!$A$3:$A$38,B245&amp;C245,'nres bld data'!$D$3:$D$38),0)</f>
        <v>0</v>
      </c>
      <c r="H245" s="21">
        <f t="shared" ref="H245:I245" ca="1" si="249">$T245*U245</f>
        <v>0</v>
      </c>
      <c r="I245" s="21">
        <f t="shared" ca="1" si="249"/>
        <v>0</v>
      </c>
      <c r="J245" s="21"/>
      <c r="K245" s="21"/>
      <c r="S245" s="114"/>
      <c r="T245" s="22">
        <f ca="1">G245/SUMIF('nres bld data'!$B$3:$B$38,$B245,'nres bld data'!$D$3:$D$38)</f>
        <v>0</v>
      </c>
      <c r="U245" s="21">
        <f>SUMIFS('Projections by County'!$D$10:$D$36,'Projections by County'!$A$10:$A$36,$B245,'Projections by County'!$C$10:$C$36,"Electricity (kWh)",'Projections by County'!$B$10:$B$36,"Commercial")*BTU_per_kWh/1000000</f>
        <v>8748576.3686132394</v>
      </c>
      <c r="V245" s="21">
        <f>SUMIFS('Projections by County'!$D$10:$D$36,'Projections by County'!$A$10:$A$36,$B245,'Projections by County'!$C$10:$C$36,"Natural Gas",'Projections by County'!$B$10:$B$36,"Commercial")</f>
        <v>9705752.7609999999</v>
      </c>
      <c r="W245" s="20"/>
      <c r="X245" s="116">
        <f>IFERROR(SUMIF('nres bld data'!$V$3:$V$254,"="&amp;$B245&amp;$C245&amp;$D245,'nres bld data'!P$3:P$254)/SUMIF('nres bld data'!$V$3:$V$254,"="&amp;$B245&amp;$C245&amp;$D245,'nres bld data'!$T$3:$T$254),0)</f>
        <v>1</v>
      </c>
      <c r="Y245" s="116">
        <f>IFERROR(SUMIF('nres bld data'!$V$3:$V$254,"="&amp;$B245&amp;$C245&amp;$D245,'nres bld data'!Q$3:Q$254)/SUMIF('nres bld data'!$V$3:$V$254,"="&amp;$B245&amp;$C245&amp;$D245,'nres bld data'!$T$3:$T$254),0)</f>
        <v>0</v>
      </c>
      <c r="AA245" s="116">
        <f ca="1">IFERROR(SUMIF('nres bld data'!$V$3:$V$254,"="&amp;$B245&amp;$C245&amp;$D245,'nres bld data'!P$3:P$254)/SUMIF('nres bld data'!$W$256:$W$297,"="&amp;$B245&amp;$C245,'nres bld data'!P$256:P$297),0)</f>
        <v>0.20506137442259656</v>
      </c>
      <c r="AB245" s="116">
        <f ca="1">IFERROR(SUMIF('nres bld data'!$V$3:$V$254,"="&amp;$B245&amp;$C245&amp;$D245,'nres bld data'!Q$3:Q$254)/SUMIF('nres bld data'!$W$256:$W$297,"="&amp;$B245&amp;$C245,'nres bld data'!Q$256:Q$297),0)</f>
        <v>0</v>
      </c>
    </row>
    <row r="246" spans="2:28">
      <c r="B246" s="20" t="s">
        <v>10</v>
      </c>
      <c r="C246" s="20" t="s">
        <v>464</v>
      </c>
      <c r="D246" s="20" t="s">
        <v>440</v>
      </c>
      <c r="E246" s="55">
        <f t="shared" ca="1" si="0"/>
        <v>0</v>
      </c>
      <c r="F246" s="55">
        <f t="shared" ca="1" si="1"/>
        <v>0</v>
      </c>
      <c r="G246" s="21">
        <f>IFERROR(SUMIF('nres bld data'!$A$3:$A$38,B246&amp;C246,'nres bld data'!$D$3:$D$38),0)</f>
        <v>0</v>
      </c>
      <c r="H246" s="21">
        <f t="shared" ref="H246:I246" ca="1" si="250">$T246*U246</f>
        <v>0</v>
      </c>
      <c r="I246" s="21">
        <f t="shared" ca="1" si="250"/>
        <v>0</v>
      </c>
      <c r="J246" s="21"/>
      <c r="K246" s="21"/>
      <c r="S246" s="114"/>
      <c r="T246" s="22">
        <f ca="1">G246/SUMIF('nres bld data'!$B$3:$B$38,$B246,'nres bld data'!$D$3:$D$38)</f>
        <v>0</v>
      </c>
      <c r="U246" s="21">
        <f>SUMIFS('Projections by County'!$D$10:$D$36,'Projections by County'!$A$10:$A$36,$B246,'Projections by County'!$C$10:$C$36,"Electricity (kWh)",'Projections by County'!$B$10:$B$36,"Commercial")*BTU_per_kWh/1000000</f>
        <v>8748576.3686132394</v>
      </c>
      <c r="V246" s="21">
        <f>SUMIFS('Projections by County'!$D$10:$D$36,'Projections by County'!$A$10:$A$36,$B246,'Projections by County'!$C$10:$C$36,"Natural Gas",'Projections by County'!$B$10:$B$36,"Commercial")</f>
        <v>9705752.7609999999</v>
      </c>
      <c r="W246" s="20"/>
      <c r="X246" s="116">
        <f>IFERROR(SUMIF('nres bld data'!$V$3:$V$254,"="&amp;$B246&amp;$C246&amp;$D246,'nres bld data'!P$3:P$254)/SUMIF('nres bld data'!$V$3:$V$254,"="&amp;$B246&amp;$C246&amp;$D246,'nres bld data'!$T$3:$T$254),0)</f>
        <v>1</v>
      </c>
      <c r="Y246" s="116">
        <f>IFERROR(SUMIF('nres bld data'!$V$3:$V$254,"="&amp;$B246&amp;$C246&amp;$D246,'nres bld data'!Q$3:Q$254)/SUMIF('nres bld data'!$V$3:$V$254,"="&amp;$B246&amp;$C246&amp;$D246,'nres bld data'!$T$3:$T$254),0)</f>
        <v>0</v>
      </c>
      <c r="AA246" s="116">
        <f ca="1">IFERROR(SUMIF('nres bld data'!$V$3:$V$254,"="&amp;$B246&amp;$C246&amp;$D246,'nres bld data'!P$3:P$254)/SUMIF('nres bld data'!$W$256:$W$297,"="&amp;$B246&amp;$C246,'nres bld data'!P$256:P$297),0)</f>
        <v>0.10225937376200513</v>
      </c>
      <c r="AB246" s="116">
        <f ca="1">IFERROR(SUMIF('nres bld data'!$V$3:$V$254,"="&amp;$B246&amp;$C246&amp;$D246,'nres bld data'!Q$3:Q$254)/SUMIF('nres bld data'!$W$256:$W$297,"="&amp;$B246&amp;$C246,'nres bld data'!Q$256:Q$297),0)</f>
        <v>0</v>
      </c>
    </row>
    <row r="247" spans="2:28">
      <c r="B247" s="20" t="s">
        <v>10</v>
      </c>
      <c r="C247" s="20" t="s">
        <v>464</v>
      </c>
      <c r="D247" s="20" t="s">
        <v>443</v>
      </c>
      <c r="E247" s="55">
        <f t="shared" ca="1" si="0"/>
        <v>0</v>
      </c>
      <c r="F247" s="55">
        <f t="shared" ca="1" si="1"/>
        <v>0</v>
      </c>
      <c r="G247" s="21">
        <f>IFERROR(SUMIF('nres bld data'!$A$3:$A$38,B247&amp;C247,'nres bld data'!$D$3:$D$38),0)</f>
        <v>0</v>
      </c>
      <c r="H247" s="21">
        <f t="shared" ref="H247:I247" ca="1" si="251">$T247*U247</f>
        <v>0</v>
      </c>
      <c r="I247" s="21">
        <f t="shared" ca="1" si="251"/>
        <v>0</v>
      </c>
      <c r="J247" s="21"/>
      <c r="K247" s="21"/>
      <c r="S247" s="114"/>
      <c r="T247" s="22">
        <f ca="1">G247/SUMIF('nres bld data'!$B$3:$B$38,$B247,'nres bld data'!$D$3:$D$38)</f>
        <v>0</v>
      </c>
      <c r="U247" s="21">
        <f>SUMIFS('Projections by County'!$D$10:$D$36,'Projections by County'!$A$10:$A$36,$B247,'Projections by County'!$C$10:$C$36,"Electricity (kWh)",'Projections by County'!$B$10:$B$36,"Commercial")*BTU_per_kWh/1000000</f>
        <v>8748576.3686132394</v>
      </c>
      <c r="V247" s="21">
        <f>SUMIFS('Projections by County'!$D$10:$D$36,'Projections by County'!$A$10:$A$36,$B247,'Projections by County'!$C$10:$C$36,"Natural Gas",'Projections by County'!$B$10:$B$36,"Commercial")</f>
        <v>9705752.7609999999</v>
      </c>
      <c r="W247" s="20"/>
      <c r="X247" s="116">
        <f>IFERROR(SUMIF('nres bld data'!$V$3:$V$254,"="&amp;$B247&amp;$C247&amp;$D247,'nres bld data'!P$3:P$254)/SUMIF('nres bld data'!$V$3:$V$254,"="&amp;$B247&amp;$C247&amp;$D247,'nres bld data'!$T$3:$T$254),0)</f>
        <v>0.13440019007316431</v>
      </c>
      <c r="Y247" s="116">
        <f>IFERROR(SUMIF('nres bld data'!$V$3:$V$254,"="&amp;$B247&amp;$C247&amp;$D247,'nres bld data'!Q$3:Q$254)/SUMIF('nres bld data'!$V$3:$V$254,"="&amp;$B247&amp;$C247&amp;$D247,'nres bld data'!$T$3:$T$254),0)</f>
        <v>0.84175133519236378</v>
      </c>
      <c r="AA247" s="116">
        <f ca="1">IFERROR(SUMIF('nres bld data'!$V$3:$V$254,"="&amp;$B247&amp;$C247&amp;$D247,'nres bld data'!P$3:P$254)/SUMIF('nres bld data'!$W$256:$W$297,"="&amp;$B247&amp;$C247,'nres bld data'!P$256:P$297),0)</f>
        <v>8.2041108589081577E-2</v>
      </c>
      <c r="AB247" s="116">
        <f ca="1">IFERROR(SUMIF('nres bld data'!$V$3:$V$254,"="&amp;$B247&amp;$C247&amp;$D247,'nres bld data'!Q$3:Q$254)/SUMIF('nres bld data'!$W$256:$W$297,"="&amp;$B247&amp;$C247,'nres bld data'!Q$256:Q$297),0)</f>
        <v>0.95393876182117165</v>
      </c>
    </row>
    <row r="248" spans="2:28">
      <c r="B248" s="20" t="s">
        <v>10</v>
      </c>
      <c r="C248" s="20" t="s">
        <v>464</v>
      </c>
      <c r="D248" s="20" t="s">
        <v>445</v>
      </c>
      <c r="E248" s="55">
        <f t="shared" ca="1" si="0"/>
        <v>0</v>
      </c>
      <c r="F248" s="55">
        <f t="shared" ca="1" si="1"/>
        <v>0</v>
      </c>
      <c r="G248" s="21">
        <f>IFERROR(SUMIF('nres bld data'!$A$3:$A$38,B248&amp;C248,'nres bld data'!$D$3:$D$38),0)</f>
        <v>0</v>
      </c>
      <c r="H248" s="21">
        <f t="shared" ref="H248:I248" ca="1" si="252">$T248*U248</f>
        <v>0</v>
      </c>
      <c r="I248" s="21">
        <f t="shared" ca="1" si="252"/>
        <v>0</v>
      </c>
      <c r="J248" s="21"/>
      <c r="K248" s="21"/>
      <c r="S248" s="114"/>
      <c r="T248" s="22">
        <f ca="1">G248/SUMIF('nres bld data'!$B$3:$B$38,$B248,'nres bld data'!$D$3:$D$38)</f>
        <v>0</v>
      </c>
      <c r="U248" s="21">
        <f>SUMIFS('Projections by County'!$D$10:$D$36,'Projections by County'!$A$10:$A$36,$B248,'Projections by County'!$C$10:$C$36,"Electricity (kWh)",'Projections by County'!$B$10:$B$36,"Commercial")*BTU_per_kWh/1000000</f>
        <v>8748576.3686132394</v>
      </c>
      <c r="V248" s="21">
        <f>SUMIFS('Projections by County'!$D$10:$D$36,'Projections by County'!$A$10:$A$36,$B248,'Projections by County'!$C$10:$C$36,"Natural Gas",'Projections by County'!$B$10:$B$36,"Commercial")</f>
        <v>9705752.7609999999</v>
      </c>
      <c r="W248" s="20"/>
      <c r="X248" s="116">
        <f>IFERROR(SUMIF('nres bld data'!$V$3:$V$254,"="&amp;$B248&amp;$C248&amp;$D248,'nres bld data'!P$3:P$254)/SUMIF('nres bld data'!$V$3:$V$254,"="&amp;$B248&amp;$C248&amp;$D248,'nres bld data'!$T$3:$T$254),0)</f>
        <v>0.47547937073058616</v>
      </c>
      <c r="Y248" s="116">
        <f>IFERROR(SUMIF('nres bld data'!$V$3:$V$254,"="&amp;$B248&amp;$C248&amp;$D248,'nres bld data'!Q$3:Q$254)/SUMIF('nres bld data'!$V$3:$V$254,"="&amp;$B248&amp;$C248&amp;$D248,'nres bld data'!$T$3:$T$254),0)</f>
        <v>0.50701462973346112</v>
      </c>
      <c r="AA248" s="116">
        <f ca="1">IFERROR(SUMIF('nres bld data'!$V$3:$V$254,"="&amp;$B248&amp;$C248&amp;$D248,'nres bld data'!P$3:P$254)/SUMIF('nres bld data'!$W$256:$W$297,"="&amp;$B248&amp;$C248,'nres bld data'!P$256:P$297),0)</f>
        <v>2.3267072957579002E-2</v>
      </c>
      <c r="AB248" s="116">
        <f ca="1">IFERROR(SUMIF('nres bld data'!$V$3:$V$254,"="&amp;$B248&amp;$C248&amp;$D248,'nres bld data'!Q$3:Q$254)/SUMIF('nres bld data'!$W$256:$W$297,"="&amp;$B248&amp;$C248,'nres bld data'!Q$256:Q$297),0)</f>
        <v>4.6061238178828338E-2</v>
      </c>
    </row>
    <row r="249" spans="2:28">
      <c r="B249" s="20" t="s">
        <v>10</v>
      </c>
      <c r="C249" s="20" t="s">
        <v>452</v>
      </c>
      <c r="D249" s="20" t="s">
        <v>429</v>
      </c>
      <c r="E249" s="55">
        <f t="shared" ca="1" si="0"/>
        <v>2.2801056501855287E-2</v>
      </c>
      <c r="F249" s="55">
        <f t="shared" ca="1" si="1"/>
        <v>0</v>
      </c>
      <c r="G249" s="21">
        <f ca="1">IFERROR(SUMIF('nres bld data'!$A$3:$A$38,B249&amp;C249,'nres bld data'!$D$3:$D$38),0)</f>
        <v>19222284</v>
      </c>
      <c r="H249" s="21">
        <f t="shared" ref="H249:I249" ca="1" si="253">$T249*U249</f>
        <v>822286.25901324884</v>
      </c>
      <c r="I249" s="21">
        <f t="shared" ca="1" si="253"/>
        <v>912252.09593904205</v>
      </c>
      <c r="J249" s="21"/>
      <c r="K249" s="21"/>
      <c r="S249" s="114"/>
      <c r="T249" s="22">
        <f ca="1">G249/SUMIF('nres bld data'!$B$3:$B$38,$B249,'nres bld data'!$D$3:$D$38)</f>
        <v>9.3990864840972022E-2</v>
      </c>
      <c r="U249" s="21">
        <f>SUMIFS('Projections by County'!$D$10:$D$36,'Projections by County'!$A$10:$A$36,$B249,'Projections by County'!$C$10:$C$36,"Electricity (kWh)",'Projections by County'!$B$10:$B$36,"Commercial")*BTU_per_kWh/1000000</f>
        <v>8748576.3686132394</v>
      </c>
      <c r="V249" s="21">
        <f>SUMIFS('Projections by County'!$D$10:$D$36,'Projections by County'!$A$10:$A$36,$B249,'Projections by County'!$C$10:$C$36,"Natural Gas",'Projections by County'!$B$10:$B$36,"Commercial")</f>
        <v>9705752.7609999999</v>
      </c>
      <c r="W249" s="20"/>
      <c r="X249" s="116">
        <f>IFERROR(SUMIF('nres bld data'!$V$3:$V$254,"="&amp;$B249&amp;$C249&amp;$D249,'nres bld data'!P$3:P$254)/SUMIF('nres bld data'!$V$3:$V$254,"="&amp;$B249&amp;$C249&amp;$D249,'nres bld data'!$T$3:$T$254),0)</f>
        <v>1</v>
      </c>
      <c r="Y249" s="116">
        <f>IFERROR(SUMIF('nres bld data'!$V$3:$V$254,"="&amp;$B249&amp;$C249&amp;$D249,'nres bld data'!Q$3:Q$254)/SUMIF('nres bld data'!$V$3:$V$254,"="&amp;$B249&amp;$C249&amp;$D249,'nres bld data'!$T$3:$T$254),0)</f>
        <v>0</v>
      </c>
      <c r="AA249" s="116">
        <f ca="1">IFERROR(SUMIF('nres bld data'!$V$3:$V$254,"="&amp;$B249&amp;$C249&amp;$D249,'nres bld data'!P$3:P$254)/SUMIF('nres bld data'!$W$256:$W$297,"="&amp;$B249&amp;$C249,'nres bld data'!P$256:P$297),0)</f>
        <v>0.53301192714160028</v>
      </c>
      <c r="AB249" s="116">
        <f ca="1">IFERROR(SUMIF('nres bld data'!$V$3:$V$254,"="&amp;$B249&amp;$C249&amp;$D249,'nres bld data'!Q$3:Q$254)/SUMIF('nres bld data'!$W$256:$W$297,"="&amp;$B249&amp;$C249,'nres bld data'!Q$256:Q$297),0)</f>
        <v>0</v>
      </c>
    </row>
    <row r="250" spans="2:28">
      <c r="B250" s="20" t="s">
        <v>10</v>
      </c>
      <c r="C250" s="20" t="s">
        <v>452</v>
      </c>
      <c r="D250" s="20" t="s">
        <v>433</v>
      </c>
      <c r="E250" s="55">
        <f t="shared" ca="1" si="0"/>
        <v>1.5309507185879423E-3</v>
      </c>
      <c r="F250" s="55">
        <f t="shared" ca="1" si="1"/>
        <v>0</v>
      </c>
      <c r="G250" s="21">
        <f ca="1">IFERROR(SUMIF('nres bld data'!$A$3:$A$38,B250&amp;C250,'nres bld data'!$D$3:$D$38),0)</f>
        <v>19222284</v>
      </c>
      <c r="H250" s="21">
        <f t="shared" ref="H250:I250" ca="1" si="254">$T250*U250</f>
        <v>822286.25901324884</v>
      </c>
      <c r="I250" s="21">
        <f t="shared" ca="1" si="254"/>
        <v>912252.09593904205</v>
      </c>
      <c r="J250" s="21"/>
      <c r="K250" s="21"/>
      <c r="S250" s="114"/>
      <c r="T250" s="22">
        <f ca="1">G250/SUMIF('nres bld data'!$B$3:$B$38,$B250,'nres bld data'!$D$3:$D$38)</f>
        <v>9.3990864840972022E-2</v>
      </c>
      <c r="U250" s="21">
        <f>SUMIFS('Projections by County'!$D$10:$D$36,'Projections by County'!$A$10:$A$36,$B250,'Projections by County'!$C$10:$C$36,"Electricity (kWh)",'Projections by County'!$B$10:$B$36,"Commercial")*BTU_per_kWh/1000000</f>
        <v>8748576.3686132394</v>
      </c>
      <c r="V250" s="21">
        <f>SUMIFS('Projections by County'!$D$10:$D$36,'Projections by County'!$A$10:$A$36,$B250,'Projections by County'!$C$10:$C$36,"Natural Gas",'Projections by County'!$B$10:$B$36,"Commercial")</f>
        <v>9705752.7609999999</v>
      </c>
      <c r="W250" s="20"/>
      <c r="X250" s="116">
        <f>IFERROR(SUMIF('nres bld data'!$V$3:$V$254,"="&amp;$B250&amp;$C250&amp;$D250,'nres bld data'!P$3:P$254)/SUMIF('nres bld data'!$V$3:$V$254,"="&amp;$B250&amp;$C250&amp;$D250,'nres bld data'!$T$3:$T$254),0)</f>
        <v>1</v>
      </c>
      <c r="Y250" s="116">
        <f>IFERROR(SUMIF('nres bld data'!$V$3:$V$254,"="&amp;$B250&amp;$C250&amp;$D250,'nres bld data'!Q$3:Q$254)/SUMIF('nres bld data'!$V$3:$V$254,"="&amp;$B250&amp;$C250&amp;$D250,'nres bld data'!$T$3:$T$254),0)</f>
        <v>0</v>
      </c>
      <c r="AA250" s="116">
        <f ca="1">IFERROR(SUMIF('nres bld data'!$V$3:$V$254,"="&amp;$B250&amp;$C250&amp;$D250,'nres bld data'!P$3:P$254)/SUMIF('nres bld data'!$W$256:$W$297,"="&amp;$B250&amp;$C250,'nres bld data'!P$256:P$297),0)</f>
        <v>3.5788472907252303E-2</v>
      </c>
      <c r="AB250" s="116">
        <f ca="1">IFERROR(SUMIF('nres bld data'!$V$3:$V$254,"="&amp;$B250&amp;$C250&amp;$D250,'nres bld data'!Q$3:Q$254)/SUMIF('nres bld data'!$W$256:$W$297,"="&amp;$B250&amp;$C250,'nres bld data'!Q$256:Q$297),0)</f>
        <v>0</v>
      </c>
    </row>
    <row r="251" spans="2:28">
      <c r="B251" s="20" t="s">
        <v>10</v>
      </c>
      <c r="C251" s="20" t="s">
        <v>452</v>
      </c>
      <c r="D251" s="20" t="s">
        <v>437</v>
      </c>
      <c r="E251" s="55">
        <f t="shared" ca="1" si="0"/>
        <v>1.6136847030596296E-2</v>
      </c>
      <c r="F251" s="55">
        <f t="shared" ca="1" si="1"/>
        <v>0</v>
      </c>
      <c r="G251" s="21">
        <f ca="1">IFERROR(SUMIF('nres bld data'!$A$3:$A$38,B251&amp;C251,'nres bld data'!$D$3:$D$38),0)</f>
        <v>19222284</v>
      </c>
      <c r="H251" s="21">
        <f t="shared" ref="H251:I251" ca="1" si="255">$T251*U251</f>
        <v>822286.25901324884</v>
      </c>
      <c r="I251" s="21">
        <f t="shared" ca="1" si="255"/>
        <v>912252.09593904205</v>
      </c>
      <c r="J251" s="21"/>
      <c r="K251" s="21"/>
      <c r="S251" s="114"/>
      <c r="T251" s="22">
        <f ca="1">G251/SUMIF('nres bld data'!$B$3:$B$38,$B251,'nres bld data'!$D$3:$D$38)</f>
        <v>9.3990864840972022E-2</v>
      </c>
      <c r="U251" s="21">
        <f>SUMIFS('Projections by County'!$D$10:$D$36,'Projections by County'!$A$10:$A$36,$B251,'Projections by County'!$C$10:$C$36,"Electricity (kWh)",'Projections by County'!$B$10:$B$36,"Commercial")*BTU_per_kWh/1000000</f>
        <v>8748576.3686132394</v>
      </c>
      <c r="V251" s="21">
        <f>SUMIFS('Projections by County'!$D$10:$D$36,'Projections by County'!$A$10:$A$36,$B251,'Projections by County'!$C$10:$C$36,"Natural Gas",'Projections by County'!$B$10:$B$36,"Commercial")</f>
        <v>9705752.7609999999</v>
      </c>
      <c r="W251" s="20"/>
      <c r="X251" s="116">
        <f>IFERROR(SUMIF('nres bld data'!$V$3:$V$254,"="&amp;$B251&amp;$C251&amp;$D251,'nres bld data'!P$3:P$254)/SUMIF('nres bld data'!$V$3:$V$254,"="&amp;$B251&amp;$C251&amp;$D251,'nres bld data'!$T$3:$T$254),0)</f>
        <v>1</v>
      </c>
      <c r="Y251" s="116">
        <f>IFERROR(SUMIF('nres bld data'!$V$3:$V$254,"="&amp;$B251&amp;$C251&amp;$D251,'nres bld data'!Q$3:Q$254)/SUMIF('nres bld data'!$V$3:$V$254,"="&amp;$B251&amp;$C251&amp;$D251,'nres bld data'!$T$3:$T$254),0)</f>
        <v>0</v>
      </c>
      <c r="AA251" s="116">
        <f ca="1">IFERROR(SUMIF('nres bld data'!$V$3:$V$254,"="&amp;$B251&amp;$C251&amp;$D251,'nres bld data'!P$3:P$254)/SUMIF('nres bld data'!$W$256:$W$297,"="&amp;$B251&amp;$C251,'nres bld data'!P$256:P$297),0)</f>
        <v>0.37722514889024911</v>
      </c>
      <c r="AB251" s="116">
        <f ca="1">IFERROR(SUMIF('nres bld data'!$V$3:$V$254,"="&amp;$B251&amp;$C251&amp;$D251,'nres bld data'!Q$3:Q$254)/SUMIF('nres bld data'!$W$256:$W$297,"="&amp;$B251&amp;$C251,'nres bld data'!Q$256:Q$297),0)</f>
        <v>0</v>
      </c>
    </row>
    <row r="252" spans="2:28">
      <c r="B252" s="20" t="s">
        <v>10</v>
      </c>
      <c r="C252" s="20" t="s">
        <v>452</v>
      </c>
      <c r="D252" s="20" t="s">
        <v>440</v>
      </c>
      <c r="E252" s="55">
        <f t="shared" ca="1" si="0"/>
        <v>3.7105751026534934E-4</v>
      </c>
      <c r="F252" s="55">
        <f t="shared" ca="1" si="1"/>
        <v>0</v>
      </c>
      <c r="G252" s="21">
        <f ca="1">IFERROR(SUMIF('nres bld data'!$A$3:$A$38,B252&amp;C252,'nres bld data'!$D$3:$D$38),0)</f>
        <v>19222284</v>
      </c>
      <c r="H252" s="21">
        <f t="shared" ref="H252:I252" ca="1" si="256">$T252*U252</f>
        <v>822286.25901324884</v>
      </c>
      <c r="I252" s="21">
        <f t="shared" ca="1" si="256"/>
        <v>912252.09593904205</v>
      </c>
      <c r="J252" s="21"/>
      <c r="K252" s="21"/>
      <c r="S252" s="114"/>
      <c r="T252" s="22">
        <f ca="1">G252/SUMIF('nres bld data'!$B$3:$B$38,$B252,'nres bld data'!$D$3:$D$38)</f>
        <v>9.3990864840972022E-2</v>
      </c>
      <c r="U252" s="21">
        <f>SUMIFS('Projections by County'!$D$10:$D$36,'Projections by County'!$A$10:$A$36,$B252,'Projections by County'!$C$10:$C$36,"Electricity (kWh)",'Projections by County'!$B$10:$B$36,"Commercial")*BTU_per_kWh/1000000</f>
        <v>8748576.3686132394</v>
      </c>
      <c r="V252" s="21">
        <f>SUMIFS('Projections by County'!$D$10:$D$36,'Projections by County'!$A$10:$A$36,$B252,'Projections by County'!$C$10:$C$36,"Natural Gas",'Projections by County'!$B$10:$B$36,"Commercial")</f>
        <v>9705752.7609999999</v>
      </c>
      <c r="W252" s="20"/>
      <c r="X252" s="116">
        <f>IFERROR(SUMIF('nres bld data'!$V$3:$V$254,"="&amp;$B252&amp;$C252&amp;$D252,'nres bld data'!P$3:P$254)/SUMIF('nres bld data'!$V$3:$V$254,"="&amp;$B252&amp;$C252&amp;$D252,'nres bld data'!$T$3:$T$254),0)</f>
        <v>1</v>
      </c>
      <c r="Y252" s="116">
        <f>IFERROR(SUMIF('nres bld data'!$V$3:$V$254,"="&amp;$B252&amp;$C252&amp;$D252,'nres bld data'!Q$3:Q$254)/SUMIF('nres bld data'!$V$3:$V$254,"="&amp;$B252&amp;$C252&amp;$D252,'nres bld data'!$T$3:$T$254),0)</f>
        <v>0</v>
      </c>
      <c r="AA252" s="116">
        <f ca="1">IFERROR(SUMIF('nres bld data'!$V$3:$V$254,"="&amp;$B252&amp;$C252&amp;$D252,'nres bld data'!P$3:P$254)/SUMIF('nres bld data'!$W$256:$W$297,"="&amp;$B252&amp;$C252,'nres bld data'!P$256:P$297),0)</f>
        <v>8.6740751951912883E-3</v>
      </c>
      <c r="AB252" s="116">
        <f ca="1">IFERROR(SUMIF('nres bld data'!$V$3:$V$254,"="&amp;$B252&amp;$C252&amp;$D252,'nres bld data'!Q$3:Q$254)/SUMIF('nres bld data'!$W$256:$W$297,"="&amp;$B252&amp;$C252,'nres bld data'!Q$256:Q$297),0)</f>
        <v>0</v>
      </c>
    </row>
    <row r="253" spans="2:28">
      <c r="B253" s="20" t="s">
        <v>10</v>
      </c>
      <c r="C253" s="20" t="s">
        <v>452</v>
      </c>
      <c r="D253" s="20" t="s">
        <v>443</v>
      </c>
      <c r="E253" s="55">
        <f t="shared" ca="1" si="0"/>
        <v>1.9378486241544658E-3</v>
      </c>
      <c r="F253" s="55">
        <f t="shared" ca="1" si="1"/>
        <v>4.7458048998705982E-2</v>
      </c>
      <c r="G253" s="21">
        <f ca="1">IFERROR(SUMIF('nres bld data'!$A$3:$A$38,B253&amp;C253,'nres bld data'!$D$3:$D$38),0)</f>
        <v>19222284</v>
      </c>
      <c r="H253" s="21">
        <f t="shared" ref="H253:I253" ca="1" si="257">$T253*U253</f>
        <v>822286.25901324884</v>
      </c>
      <c r="I253" s="21">
        <f t="shared" ca="1" si="257"/>
        <v>912252.09593904205</v>
      </c>
      <c r="J253" s="21"/>
      <c r="K253" s="21"/>
      <c r="S253" s="114"/>
      <c r="T253" s="22">
        <f ca="1">G253/SUMIF('nres bld data'!$B$3:$B$38,$B253,'nres bld data'!$D$3:$D$38)</f>
        <v>9.3990864840972022E-2</v>
      </c>
      <c r="U253" s="21">
        <f>SUMIFS('Projections by County'!$D$10:$D$36,'Projections by County'!$A$10:$A$36,$B253,'Projections by County'!$C$10:$C$36,"Electricity (kWh)",'Projections by County'!$B$10:$B$36,"Commercial")*BTU_per_kWh/1000000</f>
        <v>8748576.3686132394</v>
      </c>
      <c r="V253" s="21">
        <f>SUMIFS('Projections by County'!$D$10:$D$36,'Projections by County'!$A$10:$A$36,$B253,'Projections by County'!$C$10:$C$36,"Natural Gas",'Projections by County'!$B$10:$B$36,"Commercial")</f>
        <v>9705752.7609999999</v>
      </c>
      <c r="W253" s="20"/>
      <c r="X253" s="116">
        <f>IFERROR(SUMIF('nres bld data'!$V$3:$V$254,"="&amp;$B253&amp;$C253&amp;$D253,'nres bld data'!P$3:P$254)/SUMIF('nres bld data'!$V$3:$V$254,"="&amp;$B253&amp;$C253&amp;$D253,'nres bld data'!$T$3:$T$254),0)</f>
        <v>0.21404760781827595</v>
      </c>
      <c r="Y253" s="116">
        <f>IFERROR(SUMIF('nres bld data'!$V$3:$V$254,"="&amp;$B253&amp;$C253&amp;$D253,'nres bld data'!Q$3:Q$254)/SUMIF('nres bld data'!$V$3:$V$254,"="&amp;$B253&amp;$C253&amp;$D253,'nres bld data'!$T$3:$T$254),0)</f>
        <v>0.75488509362615774</v>
      </c>
      <c r="AA253" s="116">
        <f ca="1">IFERROR(SUMIF('nres bld data'!$V$3:$V$254,"="&amp;$B253&amp;$C253&amp;$D253,'nres bld data'!P$3:P$254)/SUMIF('nres bld data'!$W$256:$W$297,"="&amp;$B253&amp;$C253,'nres bld data'!P$256:P$297),0)</f>
        <v>4.5300375865707156E-2</v>
      </c>
      <c r="AB253" s="116">
        <f ca="1">IFERROR(SUMIF('nres bld data'!$V$3:$V$254,"="&amp;$B253&amp;$C253&amp;$D253,'nres bld data'!Q$3:Q$254)/SUMIF('nres bld data'!$W$256:$W$297,"="&amp;$B253&amp;$C253,'nres bld data'!Q$256:Q$297),0)</f>
        <v>1</v>
      </c>
    </row>
    <row r="254" spans="2:28">
      <c r="B254" s="20" t="s">
        <v>10</v>
      </c>
      <c r="C254" s="20" t="s">
        <v>452</v>
      </c>
      <c r="D254" s="20" t="s">
        <v>445</v>
      </c>
      <c r="E254" s="55">
        <f t="shared" ca="1" si="0"/>
        <v>0</v>
      </c>
      <c r="F254" s="55">
        <f t="shared" ca="1" si="1"/>
        <v>0</v>
      </c>
      <c r="G254" s="21">
        <f ca="1">IFERROR(SUMIF('nres bld data'!$A$3:$A$38,B254&amp;C254,'nres bld data'!$D$3:$D$38),0)</f>
        <v>19222284</v>
      </c>
      <c r="H254" s="21">
        <f t="shared" ref="H254:I254" ca="1" si="258">$T254*U254</f>
        <v>822286.25901324884</v>
      </c>
      <c r="I254" s="21">
        <f t="shared" ca="1" si="258"/>
        <v>912252.09593904205</v>
      </c>
      <c r="J254" s="21"/>
      <c r="K254" s="21"/>
      <c r="S254" s="114"/>
      <c r="T254" s="22">
        <f ca="1">G254/SUMIF('nres bld data'!$B$3:$B$38,$B254,'nres bld data'!$D$3:$D$38)</f>
        <v>9.3990864840972022E-2</v>
      </c>
      <c r="U254" s="21">
        <f>SUMIFS('Projections by County'!$D$10:$D$36,'Projections by County'!$A$10:$A$36,$B254,'Projections by County'!$C$10:$C$36,"Electricity (kWh)",'Projections by County'!$B$10:$B$36,"Commercial")*BTU_per_kWh/1000000</f>
        <v>8748576.3686132394</v>
      </c>
      <c r="V254" s="21">
        <f>SUMIFS('Projections by County'!$D$10:$D$36,'Projections by County'!$A$10:$A$36,$B254,'Projections by County'!$C$10:$C$36,"Natural Gas",'Projections by County'!$B$10:$B$36,"Commercial")</f>
        <v>9705752.7609999999</v>
      </c>
      <c r="W254" s="20"/>
      <c r="X254" s="116">
        <f>IFERROR(SUMIF('nres bld data'!$V$3:$V$254,"="&amp;$B254&amp;$C254&amp;$D254,'nres bld data'!P$3:P$254)/SUMIF('nres bld data'!$V$3:$V$254,"="&amp;$B254&amp;$C254&amp;$D254,'nres bld data'!$T$3:$T$254),0)</f>
        <v>0</v>
      </c>
      <c r="Y254" s="116">
        <f>IFERROR(SUMIF('nres bld data'!$V$3:$V$254,"="&amp;$B254&amp;$C254&amp;$D254,'nres bld data'!Q$3:Q$254)/SUMIF('nres bld data'!$V$3:$V$254,"="&amp;$B254&amp;$C254&amp;$D254,'nres bld data'!$T$3:$T$254),0)</f>
        <v>0</v>
      </c>
      <c r="AA254" s="116">
        <f ca="1">IFERROR(SUMIF('nres bld data'!$V$3:$V$674,"="&amp;$B254&amp;$C254&amp;$D254,'nres bld data'!P$3:P$674)/SUMIF('nres bld data'!$V$677:$V$788,"="&amp;$B254&amp;$C254,'nres bld data'!P$677:P$788),0)</f>
        <v>0</v>
      </c>
      <c r="AB254" s="116">
        <f ca="1">IFERROR(SUMIF('nres bld data'!$V$3:$V$674,"="&amp;$B254&amp;$C254&amp;$D254,'nres bld data'!Q$3:Q$674)/SUMIF('nres bld data'!$V$677:$V$788,"="&amp;$B254&amp;$C254,'nres bld data'!Q$677:Q$788),0)</f>
        <v>0</v>
      </c>
    </row>
    <row r="255" spans="2:28">
      <c r="E255" s="55"/>
      <c r="F255" s="55"/>
      <c r="G255" s="21"/>
      <c r="H255" s="21"/>
      <c r="I255" s="21"/>
      <c r="J255" s="21"/>
      <c r="K255" s="21"/>
      <c r="S255" s="114"/>
      <c r="T255" s="22"/>
      <c r="U255" s="21"/>
      <c r="V255" s="21"/>
      <c r="W255" s="20"/>
      <c r="X255" s="116"/>
      <c r="Y255" s="116"/>
      <c r="AA255" s="116"/>
      <c r="AB255" s="116"/>
    </row>
    <row r="256" spans="2:28">
      <c r="E256" s="55"/>
      <c r="F256" s="55"/>
      <c r="G256" s="21"/>
      <c r="H256" s="21"/>
      <c r="I256" s="21"/>
      <c r="J256" s="21"/>
      <c r="K256" s="21"/>
      <c r="S256" s="114"/>
      <c r="T256" s="22"/>
      <c r="U256" s="21"/>
      <c r="V256" s="21"/>
      <c r="W256" s="20"/>
      <c r="X256" s="116"/>
      <c r="Y256" s="116"/>
      <c r="AA256" s="116"/>
      <c r="AB256" s="116"/>
    </row>
    <row r="257" spans="5:28">
      <c r="E257" s="55"/>
      <c r="F257" s="55"/>
      <c r="G257" s="21"/>
      <c r="H257" s="21"/>
      <c r="I257" s="21"/>
      <c r="J257" s="21"/>
      <c r="K257" s="21"/>
      <c r="S257" s="114"/>
      <c r="T257" s="22"/>
      <c r="U257" s="21"/>
      <c r="V257" s="21"/>
      <c r="W257" s="20"/>
      <c r="X257" s="116"/>
      <c r="Y257" s="116"/>
      <c r="AA257" s="116"/>
      <c r="AB257" s="116"/>
    </row>
    <row r="258" spans="5:28">
      <c r="E258" s="55"/>
      <c r="F258" s="55"/>
      <c r="G258" s="21"/>
      <c r="H258" s="21"/>
      <c r="I258" s="21"/>
      <c r="J258" s="21"/>
      <c r="K258" s="21"/>
      <c r="S258" s="114"/>
      <c r="T258" s="22"/>
      <c r="U258" s="21"/>
      <c r="V258" s="21"/>
      <c r="W258" s="20"/>
      <c r="X258" s="116"/>
      <c r="Y258" s="116"/>
      <c r="AA258" s="116"/>
      <c r="AB258" s="116"/>
    </row>
    <row r="259" spans="5:28">
      <c r="E259" s="55"/>
      <c r="F259" s="55"/>
      <c r="G259" s="21"/>
      <c r="H259" s="21"/>
      <c r="I259" s="21"/>
      <c r="J259" s="21"/>
      <c r="K259" s="21"/>
      <c r="S259" s="114"/>
      <c r="T259" s="22"/>
      <c r="U259" s="21"/>
      <c r="V259" s="21"/>
      <c r="W259" s="20"/>
      <c r="X259" s="116"/>
      <c r="Y259" s="116"/>
      <c r="AA259" s="116"/>
      <c r="AB259" s="116"/>
    </row>
    <row r="260" spans="5:28">
      <c r="E260" s="55"/>
      <c r="F260" s="55"/>
      <c r="G260" s="21"/>
      <c r="H260" s="21"/>
      <c r="I260" s="21"/>
      <c r="J260" s="21"/>
      <c r="K260" s="21"/>
      <c r="S260" s="114"/>
      <c r="T260" s="22"/>
      <c r="U260" s="21"/>
      <c r="V260" s="21"/>
      <c r="W260" s="20"/>
      <c r="X260" s="116"/>
      <c r="Y260" s="116"/>
      <c r="AA260" s="116"/>
      <c r="AB260" s="116"/>
    </row>
    <row r="261" spans="5:28">
      <c r="E261" s="55"/>
      <c r="F261" s="55"/>
      <c r="G261" s="21"/>
      <c r="H261" s="21"/>
      <c r="I261" s="21"/>
      <c r="J261" s="21"/>
      <c r="K261" s="21"/>
      <c r="S261" s="114"/>
      <c r="T261" s="22"/>
      <c r="U261" s="21"/>
      <c r="V261" s="21"/>
      <c r="W261" s="20"/>
      <c r="X261" s="116"/>
      <c r="Y261" s="116"/>
      <c r="AA261" s="116"/>
      <c r="AB261" s="116"/>
    </row>
    <row r="262" spans="5:28">
      <c r="E262" s="55"/>
      <c r="F262" s="55"/>
      <c r="G262" s="21"/>
      <c r="H262" s="21"/>
      <c r="I262" s="21"/>
      <c r="J262" s="21"/>
      <c r="K262" s="21"/>
      <c r="S262" s="114"/>
      <c r="T262" s="22"/>
      <c r="U262" s="21"/>
      <c r="V262" s="21"/>
      <c r="W262" s="20"/>
      <c r="X262" s="116"/>
      <c r="Y262" s="116"/>
      <c r="AA262" s="116"/>
      <c r="AB262" s="116"/>
    </row>
    <row r="263" spans="5:28">
      <c r="E263" s="55"/>
      <c r="F263" s="55"/>
      <c r="G263" s="21"/>
      <c r="H263" s="21"/>
      <c r="I263" s="21"/>
      <c r="J263" s="21"/>
      <c r="K263" s="21"/>
      <c r="S263" s="114"/>
      <c r="T263" s="22"/>
      <c r="U263" s="21"/>
      <c r="V263" s="21"/>
      <c r="W263" s="20"/>
      <c r="X263" s="116"/>
      <c r="Y263" s="116"/>
      <c r="AA263" s="116"/>
      <c r="AB263" s="116"/>
    </row>
    <row r="264" spans="5:28">
      <c r="E264" s="55"/>
      <c r="F264" s="55"/>
      <c r="G264" s="21"/>
      <c r="H264" s="21"/>
      <c r="I264" s="21"/>
      <c r="J264" s="21"/>
      <c r="K264" s="21"/>
      <c r="S264" s="114"/>
      <c r="T264" s="22"/>
      <c r="U264" s="21"/>
      <c r="V264" s="21"/>
      <c r="W264" s="20"/>
      <c r="X264" s="116"/>
      <c r="Y264" s="116"/>
      <c r="AA264" s="116"/>
      <c r="AB264" s="116"/>
    </row>
    <row r="265" spans="5:28">
      <c r="E265" s="55"/>
      <c r="F265" s="55"/>
      <c r="G265" s="21"/>
      <c r="H265" s="21"/>
      <c r="I265" s="21"/>
      <c r="J265" s="21"/>
      <c r="K265" s="21"/>
      <c r="S265" s="114"/>
      <c r="T265" s="22"/>
      <c r="U265" s="21"/>
      <c r="V265" s="21"/>
      <c r="W265" s="20"/>
      <c r="X265" s="116"/>
      <c r="Y265" s="116"/>
      <c r="AA265" s="116"/>
      <c r="AB265" s="116"/>
    </row>
    <row r="266" spans="5:28">
      <c r="E266" s="55"/>
      <c r="F266" s="55"/>
      <c r="G266" s="21"/>
      <c r="H266" s="21"/>
      <c r="I266" s="21"/>
      <c r="J266" s="21"/>
      <c r="K266" s="21"/>
      <c r="S266" s="114"/>
      <c r="T266" s="22"/>
      <c r="U266" s="21"/>
      <c r="V266" s="21"/>
      <c r="W266" s="20"/>
      <c r="X266" s="116"/>
      <c r="Y266" s="116"/>
      <c r="AA266" s="116"/>
      <c r="AB266" s="116"/>
    </row>
    <row r="267" spans="5:28">
      <c r="E267" s="55"/>
      <c r="F267" s="55"/>
      <c r="G267" s="21"/>
      <c r="H267" s="21"/>
      <c r="I267" s="21"/>
      <c r="J267" s="21"/>
      <c r="K267" s="21"/>
      <c r="S267" s="114"/>
      <c r="T267" s="22"/>
      <c r="U267" s="21"/>
      <c r="V267" s="21"/>
      <c r="W267" s="20"/>
      <c r="X267" s="116"/>
      <c r="Y267" s="116"/>
      <c r="AA267" s="116"/>
      <c r="AB267" s="116"/>
    </row>
    <row r="268" spans="5:28">
      <c r="E268" s="55"/>
      <c r="F268" s="55"/>
      <c r="G268" s="21"/>
      <c r="H268" s="21"/>
      <c r="I268" s="21"/>
      <c r="J268" s="21"/>
      <c r="K268" s="21"/>
      <c r="S268" s="114"/>
      <c r="T268" s="22"/>
      <c r="U268" s="21"/>
      <c r="V268" s="21"/>
      <c r="W268" s="20"/>
      <c r="X268" s="116"/>
      <c r="Y268" s="116"/>
      <c r="AA268" s="116"/>
      <c r="AB268" s="116"/>
    </row>
    <row r="269" spans="5:28">
      <c r="E269" s="55"/>
      <c r="F269" s="55"/>
      <c r="G269" s="21"/>
      <c r="H269" s="21"/>
      <c r="I269" s="21"/>
      <c r="J269" s="21"/>
      <c r="K269" s="21"/>
      <c r="S269" s="114"/>
      <c r="T269" s="22"/>
      <c r="U269" s="21"/>
      <c r="V269" s="21"/>
      <c r="W269" s="20"/>
      <c r="X269" s="116"/>
      <c r="Y269" s="116"/>
      <c r="AA269" s="116"/>
      <c r="AB269" s="116"/>
    </row>
    <row r="270" spans="5:28">
      <c r="E270" s="55"/>
      <c r="F270" s="55"/>
      <c r="G270" s="21"/>
      <c r="H270" s="21"/>
      <c r="I270" s="21"/>
      <c r="J270" s="21"/>
      <c r="K270" s="21"/>
      <c r="S270" s="114"/>
      <c r="T270" s="22"/>
      <c r="U270" s="21"/>
      <c r="V270" s="21"/>
      <c r="W270" s="20"/>
      <c r="X270" s="116"/>
      <c r="Y270" s="116"/>
      <c r="AA270" s="116"/>
      <c r="AB270" s="116"/>
    </row>
    <row r="271" spans="5:28">
      <c r="E271" s="55"/>
      <c r="F271" s="55"/>
      <c r="G271" s="21"/>
      <c r="H271" s="21"/>
      <c r="I271" s="21"/>
      <c r="J271" s="21"/>
      <c r="K271" s="21"/>
      <c r="S271" s="114"/>
      <c r="T271" s="22"/>
      <c r="U271" s="21"/>
      <c r="V271" s="21"/>
      <c r="W271" s="20"/>
      <c r="X271" s="116"/>
      <c r="Y271" s="116"/>
      <c r="AA271" s="116"/>
      <c r="AB271" s="116"/>
    </row>
    <row r="272" spans="5:28">
      <c r="E272" s="55"/>
      <c r="F272" s="55"/>
      <c r="G272" s="21"/>
      <c r="H272" s="21"/>
      <c r="I272" s="21"/>
      <c r="J272" s="21"/>
      <c r="K272" s="21"/>
      <c r="S272" s="114"/>
      <c r="T272" s="22"/>
      <c r="U272" s="21"/>
      <c r="V272" s="21"/>
      <c r="W272" s="20"/>
      <c r="X272" s="116"/>
      <c r="Y272" s="116"/>
      <c r="AA272" s="116"/>
      <c r="AB272" s="116"/>
    </row>
    <row r="273" spans="5:28">
      <c r="E273" s="55"/>
      <c r="F273" s="55"/>
      <c r="G273" s="21"/>
      <c r="H273" s="21"/>
      <c r="I273" s="21"/>
      <c r="J273" s="21"/>
      <c r="K273" s="21"/>
      <c r="S273" s="114"/>
      <c r="T273" s="22"/>
      <c r="U273" s="21"/>
      <c r="V273" s="21"/>
      <c r="W273" s="20"/>
      <c r="X273" s="116"/>
      <c r="Y273" s="116"/>
      <c r="AA273" s="116"/>
      <c r="AB273" s="116"/>
    </row>
    <row r="274" spans="5:28">
      <c r="E274" s="55"/>
      <c r="F274" s="55"/>
      <c r="G274" s="21"/>
      <c r="H274" s="21"/>
      <c r="I274" s="21"/>
      <c r="J274" s="21"/>
      <c r="K274" s="21"/>
      <c r="S274" s="114"/>
      <c r="T274" s="22"/>
      <c r="U274" s="21"/>
      <c r="V274" s="21"/>
      <c r="W274" s="20"/>
      <c r="X274" s="116"/>
      <c r="Y274" s="116"/>
      <c r="AA274" s="116"/>
      <c r="AB274" s="116"/>
    </row>
    <row r="275" spans="5:28">
      <c r="E275" s="55"/>
      <c r="F275" s="55"/>
      <c r="G275" s="21"/>
      <c r="H275" s="21"/>
      <c r="I275" s="21"/>
      <c r="J275" s="21"/>
      <c r="K275" s="21"/>
      <c r="S275" s="114"/>
      <c r="T275" s="22"/>
      <c r="U275" s="21"/>
      <c r="V275" s="21"/>
      <c r="W275" s="20"/>
      <c r="X275" s="116"/>
      <c r="Y275" s="116"/>
      <c r="AA275" s="116"/>
      <c r="AB275" s="116"/>
    </row>
    <row r="276" spans="5:28">
      <c r="E276" s="55"/>
      <c r="F276" s="55"/>
      <c r="G276" s="21"/>
      <c r="H276" s="21"/>
      <c r="I276" s="21"/>
      <c r="J276" s="21"/>
      <c r="K276" s="21"/>
      <c r="S276" s="114"/>
      <c r="T276" s="22"/>
      <c r="U276" s="21"/>
      <c r="V276" s="21"/>
      <c r="W276" s="20"/>
      <c r="X276" s="116"/>
      <c r="Y276" s="116"/>
      <c r="AA276" s="116"/>
      <c r="AB276" s="116"/>
    </row>
    <row r="277" spans="5:28">
      <c r="E277" s="55"/>
      <c r="F277" s="55"/>
      <c r="G277" s="21"/>
      <c r="H277" s="21"/>
      <c r="I277" s="21"/>
      <c r="J277" s="21"/>
      <c r="K277" s="21"/>
      <c r="S277" s="114"/>
      <c r="T277" s="22"/>
      <c r="U277" s="21"/>
      <c r="V277" s="21"/>
      <c r="W277" s="20"/>
      <c r="X277" s="116"/>
      <c r="Y277" s="116"/>
      <c r="AA277" s="116"/>
      <c r="AB277" s="116"/>
    </row>
    <row r="278" spans="5:28">
      <c r="E278" s="55"/>
      <c r="F278" s="55"/>
      <c r="G278" s="21"/>
      <c r="H278" s="21"/>
      <c r="I278" s="21"/>
      <c r="J278" s="21"/>
      <c r="K278" s="21"/>
      <c r="S278" s="114"/>
      <c r="T278" s="22"/>
      <c r="U278" s="21"/>
      <c r="V278" s="21"/>
      <c r="W278" s="20"/>
      <c r="X278" s="116"/>
      <c r="Y278" s="116"/>
      <c r="AA278" s="116"/>
      <c r="AB278" s="116"/>
    </row>
    <row r="279" spans="5:28">
      <c r="E279" s="55"/>
      <c r="F279" s="55"/>
      <c r="G279" s="21"/>
      <c r="H279" s="21"/>
      <c r="I279" s="21"/>
      <c r="J279" s="21"/>
      <c r="K279" s="21"/>
      <c r="S279" s="114"/>
      <c r="T279" s="22"/>
      <c r="U279" s="21"/>
      <c r="V279" s="21"/>
      <c r="W279" s="20"/>
      <c r="X279" s="116"/>
      <c r="Y279" s="116"/>
      <c r="AA279" s="116"/>
      <c r="AB279" s="116"/>
    </row>
    <row r="280" spans="5:28">
      <c r="E280" s="55"/>
      <c r="F280" s="55"/>
      <c r="G280" s="21"/>
      <c r="H280" s="21"/>
      <c r="I280" s="21"/>
      <c r="J280" s="21"/>
      <c r="K280" s="21"/>
      <c r="S280" s="114"/>
      <c r="T280" s="22"/>
      <c r="U280" s="21"/>
      <c r="V280" s="21"/>
      <c r="W280" s="20"/>
      <c r="X280" s="116"/>
      <c r="Y280" s="116"/>
      <c r="AA280" s="116"/>
      <c r="AB280" s="116"/>
    </row>
    <row r="281" spans="5:28">
      <c r="E281" s="55"/>
      <c r="F281" s="55"/>
      <c r="G281" s="21"/>
      <c r="H281" s="21"/>
      <c r="I281" s="21"/>
      <c r="J281" s="21"/>
      <c r="K281" s="21"/>
      <c r="S281" s="114"/>
      <c r="T281" s="22"/>
      <c r="U281" s="21"/>
      <c r="V281" s="21"/>
      <c r="W281" s="20"/>
      <c r="X281" s="116"/>
      <c r="Y281" s="116"/>
      <c r="AA281" s="116"/>
      <c r="AB281" s="116"/>
    </row>
    <row r="282" spans="5:28">
      <c r="E282" s="55"/>
      <c r="F282" s="55"/>
      <c r="G282" s="21"/>
      <c r="H282" s="21"/>
      <c r="I282" s="21"/>
      <c r="J282" s="21"/>
      <c r="K282" s="21"/>
      <c r="S282" s="114"/>
      <c r="T282" s="22"/>
      <c r="U282" s="21"/>
      <c r="V282" s="21"/>
      <c r="W282" s="20"/>
      <c r="X282" s="116"/>
      <c r="Y282" s="116"/>
      <c r="AA282" s="116"/>
      <c r="AB282" s="116"/>
    </row>
    <row r="283" spans="5:28">
      <c r="E283" s="55"/>
      <c r="F283" s="55"/>
      <c r="G283" s="21"/>
      <c r="H283" s="21"/>
      <c r="I283" s="21"/>
      <c r="J283" s="21"/>
      <c r="K283" s="21"/>
      <c r="S283" s="114"/>
      <c r="T283" s="22"/>
      <c r="U283" s="21"/>
      <c r="V283" s="21"/>
      <c r="W283" s="20"/>
      <c r="X283" s="116"/>
      <c r="Y283" s="116"/>
      <c r="AA283" s="116"/>
      <c r="AB283" s="116"/>
    </row>
    <row r="284" spans="5:28">
      <c r="E284" s="55"/>
      <c r="F284" s="55"/>
      <c r="G284" s="21"/>
      <c r="H284" s="21"/>
      <c r="I284" s="21"/>
      <c r="J284" s="21"/>
      <c r="K284" s="21"/>
      <c r="S284" s="114"/>
      <c r="T284" s="22"/>
      <c r="U284" s="21"/>
      <c r="V284" s="21"/>
      <c r="W284" s="20"/>
      <c r="X284" s="116"/>
      <c r="Y284" s="116"/>
      <c r="AA284" s="116"/>
      <c r="AB284" s="116"/>
    </row>
    <row r="285" spans="5:28">
      <c r="E285" s="55"/>
      <c r="F285" s="55"/>
      <c r="G285" s="21"/>
      <c r="H285" s="21"/>
      <c r="I285" s="21"/>
      <c r="J285" s="21"/>
      <c r="K285" s="21"/>
      <c r="S285" s="114"/>
      <c r="T285" s="22"/>
      <c r="U285" s="21"/>
      <c r="V285" s="21"/>
      <c r="W285" s="20"/>
      <c r="X285" s="116"/>
      <c r="Y285" s="116"/>
      <c r="AA285" s="116"/>
      <c r="AB285" s="116"/>
    </row>
    <row r="286" spans="5:28">
      <c r="E286" s="55"/>
      <c r="F286" s="55"/>
      <c r="G286" s="21"/>
      <c r="H286" s="21"/>
      <c r="I286" s="21"/>
      <c r="J286" s="21"/>
      <c r="K286" s="21"/>
      <c r="S286" s="114"/>
      <c r="T286" s="22"/>
      <c r="U286" s="21"/>
      <c r="V286" s="21"/>
      <c r="W286" s="20"/>
      <c r="X286" s="116"/>
      <c r="Y286" s="116"/>
      <c r="AA286" s="116"/>
      <c r="AB286" s="116"/>
    </row>
    <row r="287" spans="5:28">
      <c r="E287" s="55"/>
      <c r="F287" s="55"/>
      <c r="G287" s="21"/>
      <c r="H287" s="21"/>
      <c r="I287" s="21"/>
      <c r="J287" s="21"/>
      <c r="K287" s="21"/>
      <c r="S287" s="114"/>
      <c r="T287" s="22"/>
      <c r="U287" s="21"/>
      <c r="V287" s="21"/>
      <c r="W287" s="20"/>
      <c r="X287" s="116"/>
      <c r="Y287" s="116"/>
      <c r="AA287" s="116"/>
      <c r="AB287" s="116"/>
    </row>
    <row r="288" spans="5:28">
      <c r="E288" s="55"/>
      <c r="F288" s="55"/>
      <c r="G288" s="21"/>
      <c r="H288" s="21"/>
      <c r="I288" s="21"/>
      <c r="J288" s="21"/>
      <c r="K288" s="21"/>
      <c r="S288" s="114"/>
      <c r="T288" s="22"/>
      <c r="U288" s="21"/>
      <c r="V288" s="21"/>
      <c r="W288" s="20"/>
      <c r="X288" s="116"/>
      <c r="Y288" s="116"/>
      <c r="AA288" s="116"/>
      <c r="AB288" s="116"/>
    </row>
    <row r="289" spans="5:28">
      <c r="E289" s="55"/>
      <c r="F289" s="55"/>
      <c r="G289" s="21"/>
      <c r="H289" s="21"/>
      <c r="I289" s="21"/>
      <c r="J289" s="21"/>
      <c r="K289" s="21"/>
      <c r="S289" s="114"/>
      <c r="T289" s="22"/>
      <c r="U289" s="21"/>
      <c r="V289" s="21"/>
      <c r="W289" s="20"/>
      <c r="X289" s="116"/>
      <c r="Y289" s="116"/>
      <c r="AA289" s="116"/>
      <c r="AB289" s="116"/>
    </row>
    <row r="290" spans="5:28">
      <c r="E290" s="55"/>
      <c r="F290" s="55"/>
      <c r="G290" s="21"/>
      <c r="H290" s="21"/>
      <c r="I290" s="21"/>
      <c r="J290" s="21"/>
      <c r="K290" s="21"/>
      <c r="S290" s="114"/>
      <c r="T290" s="22"/>
      <c r="U290" s="21"/>
      <c r="V290" s="21"/>
      <c r="W290" s="20"/>
      <c r="X290" s="116"/>
      <c r="Y290" s="116"/>
      <c r="AA290" s="116"/>
      <c r="AB290" s="116"/>
    </row>
    <row r="291" spans="5:28">
      <c r="E291" s="55"/>
      <c r="F291" s="55"/>
      <c r="G291" s="21"/>
      <c r="H291" s="21"/>
      <c r="I291" s="21"/>
      <c r="J291" s="21"/>
      <c r="K291" s="21"/>
      <c r="S291" s="114"/>
      <c r="T291" s="22"/>
      <c r="U291" s="21"/>
      <c r="V291" s="21"/>
      <c r="W291" s="20"/>
      <c r="X291" s="116"/>
      <c r="Y291" s="116"/>
      <c r="AA291" s="116"/>
      <c r="AB291" s="116"/>
    </row>
    <row r="292" spans="5:28">
      <c r="E292" s="55"/>
      <c r="F292" s="55"/>
      <c r="G292" s="21"/>
      <c r="H292" s="21"/>
      <c r="I292" s="21"/>
      <c r="J292" s="21"/>
      <c r="K292" s="21"/>
      <c r="S292" s="114"/>
      <c r="T292" s="22"/>
      <c r="U292" s="21"/>
      <c r="V292" s="21"/>
      <c r="W292" s="20"/>
      <c r="X292" s="116"/>
      <c r="Y292" s="116"/>
      <c r="AA292" s="116"/>
      <c r="AB292" s="116"/>
    </row>
    <row r="293" spans="5:28">
      <c r="E293" s="55"/>
      <c r="F293" s="55"/>
      <c r="G293" s="21"/>
      <c r="H293" s="21"/>
      <c r="I293" s="21"/>
      <c r="J293" s="21"/>
      <c r="K293" s="21"/>
      <c r="S293" s="114"/>
      <c r="T293" s="22"/>
      <c r="U293" s="21"/>
      <c r="V293" s="21"/>
      <c r="W293" s="20"/>
      <c r="X293" s="116"/>
      <c r="Y293" s="116"/>
      <c r="AA293" s="116"/>
      <c r="AB293" s="116"/>
    </row>
    <row r="294" spans="5:28">
      <c r="E294" s="55"/>
      <c r="F294" s="55"/>
      <c r="G294" s="21"/>
      <c r="H294" s="21"/>
      <c r="I294" s="21"/>
      <c r="J294" s="21"/>
      <c r="K294" s="21"/>
      <c r="S294" s="114"/>
      <c r="T294" s="22"/>
      <c r="U294" s="21"/>
      <c r="V294" s="21"/>
      <c r="W294" s="20"/>
      <c r="X294" s="116"/>
      <c r="Y294" s="116"/>
      <c r="AA294" s="116"/>
      <c r="AB294" s="116"/>
    </row>
    <row r="295" spans="5:28">
      <c r="E295" s="55"/>
      <c r="F295" s="55"/>
      <c r="G295" s="21"/>
      <c r="H295" s="21"/>
      <c r="I295" s="21"/>
      <c r="J295" s="21"/>
      <c r="K295" s="21"/>
      <c r="S295" s="114"/>
      <c r="T295" s="22"/>
      <c r="U295" s="21"/>
      <c r="V295" s="21"/>
      <c r="W295" s="20"/>
      <c r="X295" s="116"/>
      <c r="Y295" s="116"/>
      <c r="AA295" s="116"/>
      <c r="AB295" s="116"/>
    </row>
    <row r="296" spans="5:28">
      <c r="E296" s="55"/>
      <c r="F296" s="55"/>
      <c r="G296" s="21"/>
      <c r="H296" s="21"/>
      <c r="I296" s="21"/>
      <c r="J296" s="21"/>
      <c r="K296" s="21"/>
      <c r="S296" s="114"/>
      <c r="T296" s="22"/>
      <c r="U296" s="21"/>
      <c r="V296" s="21"/>
      <c r="W296" s="20"/>
      <c r="X296" s="116"/>
      <c r="Y296" s="116"/>
      <c r="AA296" s="116"/>
      <c r="AB296" s="116"/>
    </row>
    <row r="297" spans="5:28">
      <c r="E297" s="55"/>
      <c r="F297" s="55"/>
      <c r="G297" s="21"/>
      <c r="H297" s="21"/>
      <c r="I297" s="21"/>
      <c r="J297" s="21"/>
      <c r="K297" s="21"/>
      <c r="S297" s="114"/>
      <c r="T297" s="22"/>
      <c r="U297" s="21"/>
      <c r="V297" s="21"/>
      <c r="W297" s="20"/>
      <c r="X297" s="116"/>
      <c r="Y297" s="116"/>
      <c r="AA297" s="116"/>
      <c r="AB297" s="116"/>
    </row>
    <row r="298" spans="5:28">
      <c r="E298" s="55"/>
      <c r="F298" s="55"/>
      <c r="G298" s="21"/>
      <c r="H298" s="21"/>
      <c r="I298" s="21"/>
      <c r="J298" s="21"/>
      <c r="K298" s="21"/>
      <c r="S298" s="114"/>
      <c r="T298" s="22"/>
      <c r="U298" s="21"/>
      <c r="V298" s="21"/>
      <c r="W298" s="20"/>
      <c r="X298" s="116"/>
      <c r="Y298" s="116"/>
      <c r="AA298" s="116"/>
      <c r="AB298" s="116"/>
    </row>
    <row r="299" spans="5:28">
      <c r="E299" s="55"/>
      <c r="F299" s="55"/>
      <c r="G299" s="21"/>
      <c r="H299" s="21"/>
      <c r="I299" s="21"/>
      <c r="J299" s="21"/>
      <c r="K299" s="21"/>
      <c r="S299" s="114"/>
      <c r="T299" s="22"/>
      <c r="U299" s="21"/>
      <c r="V299" s="21"/>
      <c r="W299" s="20"/>
      <c r="X299" s="116"/>
      <c r="Y299" s="116"/>
      <c r="AA299" s="116"/>
      <c r="AB299" s="116"/>
    </row>
    <row r="300" spans="5:28">
      <c r="E300" s="55"/>
      <c r="F300" s="55"/>
      <c r="G300" s="21"/>
      <c r="H300" s="21"/>
      <c r="I300" s="21"/>
      <c r="J300" s="21"/>
      <c r="K300" s="21"/>
      <c r="S300" s="114"/>
      <c r="T300" s="22"/>
      <c r="U300" s="21"/>
      <c r="V300" s="21"/>
      <c r="W300" s="20"/>
      <c r="X300" s="116"/>
      <c r="Y300" s="116"/>
      <c r="AA300" s="116"/>
      <c r="AB300" s="116"/>
    </row>
    <row r="301" spans="5:28">
      <c r="E301" s="55"/>
      <c r="F301" s="55"/>
      <c r="G301" s="21"/>
      <c r="H301" s="21"/>
      <c r="I301" s="21"/>
      <c r="J301" s="21"/>
      <c r="K301" s="21"/>
      <c r="S301" s="114"/>
      <c r="T301" s="22"/>
      <c r="U301" s="21"/>
      <c r="V301" s="21"/>
      <c r="W301" s="20"/>
      <c r="X301" s="116"/>
      <c r="Y301" s="116"/>
      <c r="AA301" s="116"/>
      <c r="AB301" s="116"/>
    </row>
    <row r="302" spans="5:28">
      <c r="E302" s="55"/>
      <c r="F302" s="55"/>
      <c r="G302" s="21"/>
      <c r="H302" s="21"/>
      <c r="I302" s="21"/>
      <c r="J302" s="21"/>
      <c r="K302" s="21"/>
      <c r="S302" s="114"/>
      <c r="T302" s="22"/>
      <c r="U302" s="21"/>
      <c r="V302" s="21"/>
      <c r="W302" s="20"/>
      <c r="X302" s="116"/>
      <c r="Y302" s="116"/>
      <c r="AA302" s="116"/>
      <c r="AB302" s="116"/>
    </row>
    <row r="303" spans="5:28">
      <c r="E303" s="55"/>
      <c r="F303" s="55"/>
      <c r="G303" s="21"/>
      <c r="H303" s="21"/>
      <c r="I303" s="21"/>
      <c r="J303" s="21"/>
      <c r="K303" s="21"/>
      <c r="S303" s="114"/>
      <c r="T303" s="22"/>
      <c r="U303" s="21"/>
      <c r="V303" s="21"/>
      <c r="W303" s="20"/>
      <c r="X303" s="116"/>
      <c r="Y303" s="116"/>
      <c r="AA303" s="116"/>
      <c r="AB303" s="116"/>
    </row>
    <row r="304" spans="5:28">
      <c r="E304" s="55"/>
      <c r="F304" s="55"/>
      <c r="G304" s="21"/>
      <c r="H304" s="21"/>
      <c r="I304" s="21"/>
      <c r="J304" s="21"/>
      <c r="K304" s="21"/>
      <c r="S304" s="114"/>
      <c r="T304" s="22"/>
      <c r="U304" s="21"/>
      <c r="V304" s="21"/>
      <c r="W304" s="20"/>
      <c r="X304" s="116"/>
      <c r="Y304" s="116"/>
      <c r="AA304" s="116"/>
      <c r="AB304" s="116"/>
    </row>
    <row r="305" spans="5:28">
      <c r="E305" s="55"/>
      <c r="F305" s="55"/>
      <c r="G305" s="21"/>
      <c r="H305" s="21"/>
      <c r="I305" s="21"/>
      <c r="J305" s="21"/>
      <c r="K305" s="21"/>
      <c r="S305" s="114"/>
      <c r="T305" s="22"/>
      <c r="U305" s="21"/>
      <c r="V305" s="21"/>
      <c r="W305" s="20"/>
      <c r="X305" s="116"/>
      <c r="Y305" s="116"/>
      <c r="AA305" s="116"/>
      <c r="AB305" s="116"/>
    </row>
    <row r="306" spans="5:28">
      <c r="E306" s="55"/>
      <c r="F306" s="55"/>
      <c r="G306" s="21"/>
      <c r="H306" s="21"/>
      <c r="I306" s="21"/>
      <c r="J306" s="21"/>
      <c r="K306" s="21"/>
      <c r="S306" s="114"/>
      <c r="T306" s="22"/>
      <c r="U306" s="21"/>
      <c r="V306" s="21"/>
      <c r="W306" s="20"/>
      <c r="X306" s="116"/>
      <c r="Y306" s="116"/>
      <c r="AA306" s="116"/>
      <c r="AB306" s="116"/>
    </row>
    <row r="307" spans="5:28">
      <c r="E307" s="55"/>
      <c r="F307" s="55"/>
      <c r="G307" s="21"/>
      <c r="H307" s="21"/>
      <c r="I307" s="21"/>
      <c r="J307" s="21"/>
      <c r="K307" s="21"/>
      <c r="S307" s="114"/>
      <c r="T307" s="22"/>
      <c r="U307" s="21"/>
      <c r="V307" s="21"/>
      <c r="W307" s="20"/>
      <c r="X307" s="116"/>
      <c r="Y307" s="116"/>
      <c r="AA307" s="116"/>
      <c r="AB307" s="116"/>
    </row>
    <row r="308" spans="5:28">
      <c r="E308" s="55"/>
      <c r="F308" s="55"/>
      <c r="G308" s="21"/>
      <c r="H308" s="21"/>
      <c r="I308" s="21"/>
      <c r="J308" s="21"/>
      <c r="K308" s="21"/>
      <c r="S308" s="114"/>
      <c r="T308" s="22"/>
      <c r="U308" s="21"/>
      <c r="V308" s="21"/>
      <c r="W308" s="20"/>
      <c r="X308" s="116"/>
      <c r="Y308" s="116"/>
      <c r="AA308" s="116"/>
      <c r="AB308" s="116"/>
    </row>
    <row r="309" spans="5:28">
      <c r="E309" s="55"/>
      <c r="F309" s="55"/>
      <c r="G309" s="21"/>
      <c r="H309" s="21"/>
      <c r="I309" s="21"/>
      <c r="J309" s="21"/>
      <c r="K309" s="21"/>
      <c r="S309" s="114"/>
      <c r="T309" s="22"/>
      <c r="U309" s="21"/>
      <c r="V309" s="21"/>
      <c r="W309" s="20"/>
      <c r="X309" s="116"/>
      <c r="Y309" s="116"/>
      <c r="AA309" s="116"/>
      <c r="AB309" s="116"/>
    </row>
    <row r="310" spans="5:28">
      <c r="E310" s="55"/>
      <c r="F310" s="55"/>
      <c r="G310" s="21"/>
      <c r="H310" s="21"/>
      <c r="I310" s="21"/>
      <c r="J310" s="21"/>
      <c r="K310" s="21"/>
      <c r="S310" s="114"/>
      <c r="T310" s="22"/>
      <c r="U310" s="21"/>
      <c r="V310" s="21"/>
      <c r="W310" s="20"/>
      <c r="X310" s="116"/>
      <c r="Y310" s="116"/>
      <c r="AA310" s="116"/>
      <c r="AB310" s="116"/>
    </row>
    <row r="311" spans="5:28">
      <c r="E311" s="55"/>
      <c r="F311" s="55"/>
      <c r="G311" s="21"/>
      <c r="H311" s="21"/>
      <c r="I311" s="21"/>
      <c r="J311" s="21"/>
      <c r="K311" s="21"/>
      <c r="S311" s="114"/>
      <c r="T311" s="22"/>
      <c r="U311" s="21"/>
      <c r="V311" s="21"/>
      <c r="W311" s="20"/>
      <c r="X311" s="116"/>
      <c r="Y311" s="116"/>
      <c r="AA311" s="116"/>
      <c r="AB311" s="116"/>
    </row>
    <row r="312" spans="5:28">
      <c r="E312" s="55"/>
      <c r="F312" s="55"/>
      <c r="G312" s="21"/>
      <c r="H312" s="21"/>
      <c r="I312" s="21"/>
      <c r="J312" s="21"/>
      <c r="K312" s="21"/>
      <c r="S312" s="114"/>
      <c r="T312" s="22"/>
      <c r="U312" s="21"/>
      <c r="V312" s="21"/>
      <c r="W312" s="20"/>
      <c r="X312" s="116"/>
      <c r="Y312" s="116"/>
      <c r="AA312" s="116"/>
      <c r="AB312" s="116"/>
    </row>
    <row r="313" spans="5:28">
      <c r="E313" s="55"/>
      <c r="F313" s="55"/>
      <c r="G313" s="21"/>
      <c r="H313" s="21"/>
      <c r="I313" s="21"/>
      <c r="J313" s="21"/>
      <c r="K313" s="21"/>
      <c r="S313" s="114"/>
      <c r="T313" s="22"/>
      <c r="U313" s="21"/>
      <c r="V313" s="21"/>
      <c r="W313" s="20"/>
      <c r="X313" s="116"/>
      <c r="Y313" s="116"/>
      <c r="AA313" s="116"/>
      <c r="AB313" s="116"/>
    </row>
    <row r="314" spans="5:28">
      <c r="E314" s="55"/>
      <c r="F314" s="55"/>
      <c r="G314" s="21"/>
      <c r="H314" s="21"/>
      <c r="I314" s="21"/>
      <c r="J314" s="21"/>
      <c r="K314" s="21"/>
      <c r="S314" s="114"/>
      <c r="T314" s="22"/>
      <c r="U314" s="21"/>
      <c r="V314" s="21"/>
      <c r="W314" s="20"/>
      <c r="X314" s="116"/>
      <c r="Y314" s="116"/>
      <c r="AA314" s="116"/>
      <c r="AB314" s="116"/>
    </row>
    <row r="315" spans="5:28">
      <c r="E315" s="55"/>
      <c r="F315" s="55"/>
      <c r="G315" s="21"/>
      <c r="H315" s="21"/>
      <c r="I315" s="21"/>
      <c r="J315" s="21"/>
      <c r="K315" s="21"/>
      <c r="S315" s="114"/>
      <c r="T315" s="22"/>
      <c r="U315" s="21"/>
      <c r="V315" s="21"/>
      <c r="W315" s="20"/>
      <c r="X315" s="116"/>
      <c r="Y315" s="116"/>
      <c r="AA315" s="116"/>
      <c r="AB315" s="116"/>
    </row>
    <row r="316" spans="5:28">
      <c r="E316" s="55"/>
      <c r="F316" s="55"/>
      <c r="G316" s="21"/>
      <c r="H316" s="21"/>
      <c r="I316" s="21"/>
      <c r="J316" s="21"/>
      <c r="K316" s="21"/>
      <c r="S316" s="114"/>
      <c r="T316" s="22"/>
      <c r="U316" s="21"/>
      <c r="V316" s="21"/>
      <c r="W316" s="20"/>
      <c r="X316" s="116"/>
      <c r="Y316" s="116"/>
      <c r="AA316" s="116"/>
      <c r="AB316" s="116"/>
    </row>
    <row r="317" spans="5:28">
      <c r="E317" s="55"/>
      <c r="F317" s="55"/>
      <c r="G317" s="21"/>
      <c r="H317" s="21"/>
      <c r="I317" s="21"/>
      <c r="J317" s="21"/>
      <c r="K317" s="21"/>
      <c r="S317" s="114"/>
      <c r="T317" s="22"/>
      <c r="U317" s="21"/>
      <c r="V317" s="21"/>
      <c r="W317" s="20"/>
      <c r="X317" s="116"/>
      <c r="Y317" s="116"/>
      <c r="AA317" s="116"/>
      <c r="AB317" s="116"/>
    </row>
    <row r="318" spans="5:28">
      <c r="E318" s="55"/>
      <c r="F318" s="55"/>
      <c r="G318" s="21"/>
      <c r="H318" s="21"/>
      <c r="I318" s="21"/>
      <c r="J318" s="21"/>
      <c r="K318" s="21"/>
      <c r="S318" s="114"/>
      <c r="T318" s="22"/>
      <c r="U318" s="21"/>
      <c r="V318" s="21"/>
      <c r="W318" s="20"/>
      <c r="X318" s="116"/>
      <c r="Y318" s="116"/>
      <c r="AA318" s="116"/>
      <c r="AB318" s="116"/>
    </row>
    <row r="319" spans="5:28">
      <c r="E319" s="55"/>
      <c r="F319" s="55"/>
      <c r="G319" s="21"/>
      <c r="H319" s="21"/>
      <c r="I319" s="21"/>
      <c r="J319" s="21"/>
      <c r="K319" s="21"/>
      <c r="S319" s="114"/>
      <c r="T319" s="22"/>
      <c r="U319" s="21"/>
      <c r="V319" s="21"/>
      <c r="W319" s="20"/>
      <c r="X319" s="116"/>
      <c r="Y319" s="116"/>
      <c r="AA319" s="116"/>
      <c r="AB319" s="116"/>
    </row>
    <row r="320" spans="5:28">
      <c r="E320" s="55"/>
      <c r="F320" s="55"/>
      <c r="G320" s="21"/>
      <c r="H320" s="21"/>
      <c r="I320" s="21"/>
      <c r="J320" s="21"/>
      <c r="K320" s="21"/>
      <c r="S320" s="114"/>
      <c r="T320" s="22"/>
      <c r="U320" s="21"/>
      <c r="V320" s="21"/>
      <c r="W320" s="20"/>
      <c r="X320" s="116"/>
      <c r="Y320" s="116"/>
      <c r="AA320" s="116"/>
      <c r="AB320" s="116"/>
    </row>
    <row r="321" spans="5:28">
      <c r="E321" s="55"/>
      <c r="F321" s="55"/>
      <c r="G321" s="21"/>
      <c r="H321" s="21"/>
      <c r="I321" s="21"/>
      <c r="J321" s="21"/>
      <c r="K321" s="21"/>
      <c r="S321" s="114"/>
      <c r="T321" s="22"/>
      <c r="U321" s="21"/>
      <c r="V321" s="21"/>
      <c r="W321" s="20"/>
      <c r="X321" s="116"/>
      <c r="Y321" s="116"/>
      <c r="AA321" s="116"/>
      <c r="AB321" s="116"/>
    </row>
    <row r="322" spans="5:28">
      <c r="E322" s="55"/>
      <c r="F322" s="55"/>
      <c r="G322" s="21"/>
      <c r="H322" s="21"/>
      <c r="I322" s="21"/>
      <c r="J322" s="21"/>
      <c r="K322" s="21"/>
      <c r="S322" s="114"/>
      <c r="T322" s="22"/>
      <c r="U322" s="21"/>
      <c r="V322" s="21"/>
      <c r="W322" s="20"/>
      <c r="X322" s="116"/>
      <c r="Y322" s="116"/>
      <c r="AA322" s="116"/>
      <c r="AB322" s="116"/>
    </row>
    <row r="323" spans="5:28">
      <c r="E323" s="55"/>
      <c r="F323" s="55"/>
      <c r="G323" s="21"/>
      <c r="H323" s="21"/>
      <c r="I323" s="21"/>
      <c r="J323" s="21"/>
      <c r="K323" s="21"/>
      <c r="S323" s="114"/>
      <c r="T323" s="22"/>
      <c r="U323" s="21"/>
      <c r="V323" s="21"/>
      <c r="W323" s="20"/>
      <c r="X323" s="116"/>
      <c r="Y323" s="116"/>
      <c r="AA323" s="116"/>
      <c r="AB323" s="116"/>
    </row>
    <row r="324" spans="5:28">
      <c r="E324" s="55"/>
      <c r="F324" s="55"/>
      <c r="G324" s="21"/>
      <c r="H324" s="21"/>
      <c r="I324" s="21"/>
      <c r="J324" s="21"/>
      <c r="K324" s="21"/>
      <c r="S324" s="114"/>
      <c r="T324" s="22"/>
      <c r="U324" s="21"/>
      <c r="V324" s="21"/>
      <c r="W324" s="20"/>
      <c r="X324" s="116"/>
      <c r="Y324" s="116"/>
      <c r="AA324" s="116"/>
      <c r="AB324" s="116"/>
    </row>
    <row r="325" spans="5:28">
      <c r="E325" s="55"/>
      <c r="F325" s="55"/>
      <c r="G325" s="21"/>
      <c r="H325" s="21"/>
      <c r="I325" s="21"/>
      <c r="J325" s="21"/>
      <c r="K325" s="21"/>
      <c r="S325" s="114"/>
      <c r="T325" s="22"/>
      <c r="U325" s="21"/>
      <c r="V325" s="21"/>
      <c r="W325" s="20"/>
      <c r="X325" s="116"/>
      <c r="Y325" s="116"/>
      <c r="AA325" s="116"/>
      <c r="AB325" s="116"/>
    </row>
    <row r="326" spans="5:28">
      <c r="E326" s="55"/>
      <c r="F326" s="55"/>
      <c r="G326" s="21"/>
      <c r="H326" s="21"/>
      <c r="I326" s="21"/>
      <c r="J326" s="21"/>
      <c r="K326" s="21"/>
      <c r="S326" s="114"/>
      <c r="T326" s="22"/>
      <c r="U326" s="21"/>
      <c r="V326" s="21"/>
      <c r="W326" s="20"/>
      <c r="X326" s="116"/>
      <c r="Y326" s="116"/>
      <c r="AA326" s="116"/>
      <c r="AB326" s="116"/>
    </row>
    <row r="327" spans="5:28">
      <c r="E327" s="55"/>
      <c r="F327" s="55"/>
      <c r="G327" s="21"/>
      <c r="H327" s="21"/>
      <c r="I327" s="21"/>
      <c r="J327" s="21"/>
      <c r="K327" s="21"/>
      <c r="S327" s="114"/>
      <c r="T327" s="22"/>
      <c r="U327" s="21"/>
      <c r="V327" s="21"/>
      <c r="W327" s="20"/>
      <c r="X327" s="116"/>
      <c r="Y327" s="116"/>
      <c r="AA327" s="116"/>
      <c r="AB327" s="116"/>
    </row>
    <row r="328" spans="5:28">
      <c r="E328" s="55"/>
      <c r="F328" s="55"/>
      <c r="G328" s="21"/>
      <c r="H328" s="21"/>
      <c r="I328" s="21"/>
      <c r="J328" s="21"/>
      <c r="K328" s="21"/>
      <c r="S328" s="114"/>
      <c r="T328" s="22"/>
      <c r="U328" s="21"/>
      <c r="V328" s="21"/>
      <c r="W328" s="20"/>
      <c r="X328" s="116"/>
      <c r="Y328" s="116"/>
      <c r="AA328" s="116"/>
      <c r="AB328" s="116"/>
    </row>
    <row r="329" spans="5:28">
      <c r="E329" s="55"/>
      <c r="F329" s="55"/>
      <c r="G329" s="21"/>
      <c r="H329" s="21"/>
      <c r="I329" s="21"/>
      <c r="J329" s="21"/>
      <c r="K329" s="21"/>
      <c r="S329" s="114"/>
      <c r="T329" s="22"/>
      <c r="U329" s="21"/>
      <c r="V329" s="21"/>
      <c r="W329" s="20"/>
      <c r="X329" s="116"/>
      <c r="Y329" s="116"/>
      <c r="AA329" s="116"/>
      <c r="AB329" s="116"/>
    </row>
    <row r="330" spans="5:28">
      <c r="E330" s="55"/>
      <c r="F330" s="55"/>
      <c r="G330" s="21"/>
      <c r="H330" s="21"/>
      <c r="I330" s="21"/>
      <c r="J330" s="21"/>
      <c r="K330" s="21"/>
      <c r="S330" s="114"/>
      <c r="T330" s="22"/>
      <c r="U330" s="21"/>
      <c r="V330" s="21"/>
      <c r="W330" s="20"/>
      <c r="X330" s="116"/>
      <c r="Y330" s="116"/>
      <c r="AA330" s="116"/>
      <c r="AB330" s="116"/>
    </row>
    <row r="331" spans="5:28">
      <c r="E331" s="55"/>
      <c r="F331" s="55"/>
      <c r="G331" s="21"/>
      <c r="H331" s="21"/>
      <c r="I331" s="21"/>
      <c r="J331" s="21"/>
      <c r="K331" s="21"/>
      <c r="S331" s="114"/>
      <c r="T331" s="22"/>
      <c r="U331" s="21"/>
      <c r="V331" s="21"/>
      <c r="W331" s="20"/>
      <c r="X331" s="116"/>
      <c r="Y331" s="116"/>
      <c r="AA331" s="116"/>
      <c r="AB331" s="116"/>
    </row>
    <row r="332" spans="5:28">
      <c r="E332" s="55"/>
      <c r="F332" s="55"/>
      <c r="G332" s="21"/>
      <c r="H332" s="21"/>
      <c r="I332" s="21"/>
      <c r="J332" s="21"/>
      <c r="K332" s="21"/>
      <c r="S332" s="114"/>
      <c r="T332" s="22"/>
      <c r="U332" s="21"/>
      <c r="V332" s="21"/>
      <c r="W332" s="20"/>
      <c r="X332" s="116"/>
      <c r="Y332" s="116"/>
      <c r="AA332" s="116"/>
      <c r="AB332" s="116"/>
    </row>
    <row r="333" spans="5:28">
      <c r="E333" s="55"/>
      <c r="F333" s="55"/>
      <c r="G333" s="21"/>
      <c r="H333" s="21"/>
      <c r="I333" s="21"/>
      <c r="J333" s="21"/>
      <c r="K333" s="21"/>
      <c r="S333" s="114"/>
      <c r="T333" s="22"/>
      <c r="U333" s="21"/>
      <c r="V333" s="21"/>
      <c r="W333" s="20"/>
      <c r="X333" s="116"/>
      <c r="Y333" s="116"/>
      <c r="AA333" s="116"/>
      <c r="AB333" s="116"/>
    </row>
    <row r="334" spans="5:28">
      <c r="E334" s="55"/>
      <c r="F334" s="55"/>
      <c r="G334" s="21"/>
      <c r="H334" s="21"/>
      <c r="I334" s="21"/>
      <c r="J334" s="21"/>
      <c r="K334" s="21"/>
      <c r="S334" s="114"/>
      <c r="T334" s="22"/>
      <c r="U334" s="21"/>
      <c r="V334" s="21"/>
      <c r="W334" s="20"/>
      <c r="X334" s="116"/>
      <c r="Y334" s="116"/>
      <c r="AA334" s="116"/>
      <c r="AB334" s="116"/>
    </row>
    <row r="335" spans="5:28">
      <c r="E335" s="55"/>
      <c r="F335" s="55"/>
      <c r="G335" s="21"/>
      <c r="H335" s="21"/>
      <c r="I335" s="21"/>
      <c r="J335" s="21"/>
      <c r="K335" s="21"/>
      <c r="S335" s="114"/>
      <c r="T335" s="22"/>
      <c r="U335" s="21"/>
      <c r="V335" s="21"/>
      <c r="W335" s="20"/>
      <c r="X335" s="116"/>
      <c r="Y335" s="116"/>
      <c r="AA335" s="116"/>
      <c r="AB335" s="116"/>
    </row>
    <row r="336" spans="5:28">
      <c r="E336" s="55"/>
      <c r="F336" s="55"/>
      <c r="G336" s="21"/>
      <c r="H336" s="21"/>
      <c r="I336" s="21"/>
      <c r="J336" s="21"/>
      <c r="K336" s="21"/>
      <c r="S336" s="114"/>
      <c r="T336" s="22"/>
      <c r="U336" s="21"/>
      <c r="V336" s="21"/>
      <c r="W336" s="20"/>
      <c r="X336" s="116"/>
      <c r="Y336" s="116"/>
      <c r="AA336" s="116"/>
      <c r="AB336" s="116"/>
    </row>
    <row r="337" spans="5:28">
      <c r="E337" s="55"/>
      <c r="F337" s="55"/>
      <c r="G337" s="21"/>
      <c r="H337" s="21"/>
      <c r="I337" s="21"/>
      <c r="J337" s="21"/>
      <c r="K337" s="21"/>
      <c r="S337" s="114"/>
      <c r="T337" s="22"/>
      <c r="U337" s="21"/>
      <c r="V337" s="21"/>
      <c r="W337" s="20"/>
      <c r="X337" s="116"/>
      <c r="Y337" s="116"/>
      <c r="AA337" s="116"/>
      <c r="AB337" s="116"/>
    </row>
    <row r="338" spans="5:28">
      <c r="E338" s="55"/>
      <c r="F338" s="55"/>
      <c r="G338" s="21"/>
      <c r="H338" s="21"/>
      <c r="I338" s="21"/>
      <c r="J338" s="21"/>
      <c r="K338" s="21"/>
      <c r="S338" s="114"/>
      <c r="T338" s="22"/>
      <c r="U338" s="21"/>
      <c r="V338" s="21"/>
      <c r="W338" s="20"/>
      <c r="X338" s="116"/>
      <c r="Y338" s="116"/>
      <c r="AA338" s="116"/>
      <c r="AB338" s="116"/>
    </row>
    <row r="339" spans="5:28">
      <c r="E339" s="55"/>
      <c r="F339" s="55"/>
      <c r="G339" s="21"/>
      <c r="H339" s="21"/>
      <c r="I339" s="21"/>
      <c r="J339" s="21"/>
      <c r="K339" s="21"/>
      <c r="S339" s="114"/>
      <c r="T339" s="22"/>
      <c r="U339" s="21"/>
      <c r="V339" s="21"/>
      <c r="W339" s="20"/>
      <c r="X339" s="116"/>
      <c r="Y339" s="116"/>
      <c r="AA339" s="116"/>
      <c r="AB339" s="116"/>
    </row>
    <row r="340" spans="5:28">
      <c r="E340" s="55"/>
      <c r="F340" s="55"/>
      <c r="G340" s="21"/>
      <c r="H340" s="21"/>
      <c r="I340" s="21"/>
      <c r="J340" s="21"/>
      <c r="K340" s="21"/>
      <c r="S340" s="114"/>
      <c r="T340" s="22"/>
      <c r="U340" s="21"/>
      <c r="V340" s="21"/>
      <c r="W340" s="20"/>
      <c r="X340" s="116"/>
      <c r="Y340" s="116"/>
      <c r="AA340" s="116"/>
      <c r="AB340" s="116"/>
    </row>
    <row r="341" spans="5:28">
      <c r="E341" s="55"/>
      <c r="F341" s="55"/>
      <c r="G341" s="21"/>
      <c r="H341" s="21"/>
      <c r="I341" s="21"/>
      <c r="J341" s="21"/>
      <c r="K341" s="21"/>
      <c r="S341" s="114"/>
      <c r="T341" s="22"/>
      <c r="U341" s="21"/>
      <c r="V341" s="21"/>
      <c r="W341" s="20"/>
      <c r="X341" s="116"/>
      <c r="Y341" s="116"/>
      <c r="AA341" s="116"/>
      <c r="AB341" s="116"/>
    </row>
    <row r="342" spans="5:28">
      <c r="E342" s="55"/>
      <c r="F342" s="55"/>
      <c r="G342" s="21"/>
      <c r="H342" s="21"/>
      <c r="I342" s="21"/>
      <c r="J342" s="21"/>
      <c r="K342" s="21"/>
      <c r="S342" s="114"/>
      <c r="T342" s="22"/>
      <c r="U342" s="21"/>
      <c r="V342" s="21"/>
      <c r="W342" s="20"/>
      <c r="X342" s="116"/>
      <c r="Y342" s="116"/>
      <c r="AA342" s="116"/>
      <c r="AB342" s="116"/>
    </row>
    <row r="343" spans="5:28">
      <c r="E343" s="55"/>
      <c r="F343" s="55"/>
      <c r="G343" s="21"/>
      <c r="H343" s="21"/>
      <c r="I343" s="21"/>
      <c r="J343" s="21"/>
      <c r="K343" s="21"/>
      <c r="S343" s="114"/>
      <c r="T343" s="22"/>
      <c r="U343" s="21"/>
      <c r="V343" s="21"/>
      <c r="W343" s="20"/>
      <c r="X343" s="116"/>
      <c r="Y343" s="116"/>
      <c r="AA343" s="116"/>
      <c r="AB343" s="116"/>
    </row>
    <row r="344" spans="5:28">
      <c r="E344" s="55"/>
      <c r="F344" s="55"/>
      <c r="G344" s="21"/>
      <c r="H344" s="21"/>
      <c r="I344" s="21"/>
      <c r="J344" s="21"/>
      <c r="K344" s="21"/>
      <c r="S344" s="114"/>
      <c r="T344" s="22"/>
      <c r="U344" s="21"/>
      <c r="V344" s="21"/>
      <c r="W344" s="20"/>
      <c r="X344" s="116"/>
      <c r="Y344" s="116"/>
      <c r="AA344" s="116"/>
      <c r="AB344" s="116"/>
    </row>
    <row r="345" spans="5:28">
      <c r="E345" s="55"/>
      <c r="F345" s="55"/>
      <c r="G345" s="21"/>
      <c r="H345" s="21"/>
      <c r="I345" s="21"/>
      <c r="J345" s="21"/>
      <c r="K345" s="21"/>
      <c r="S345" s="114"/>
      <c r="T345" s="22"/>
      <c r="U345" s="21"/>
      <c r="V345" s="21"/>
      <c r="W345" s="20"/>
      <c r="X345" s="120"/>
      <c r="Y345" s="120"/>
      <c r="Z345" s="121"/>
      <c r="AA345" s="120"/>
      <c r="AB345" s="120"/>
    </row>
    <row r="346" spans="5:28">
      <c r="E346" s="55"/>
      <c r="F346" s="55"/>
      <c r="G346" s="21"/>
      <c r="H346" s="21"/>
      <c r="I346" s="21"/>
      <c r="J346" s="21"/>
      <c r="K346" s="21"/>
      <c r="S346" s="114"/>
      <c r="T346" s="22"/>
      <c r="U346" s="21"/>
      <c r="V346" s="21"/>
      <c r="W346" s="20"/>
      <c r="X346" s="120"/>
      <c r="Y346" s="120"/>
      <c r="Z346" s="121"/>
      <c r="AA346" s="120"/>
      <c r="AB346" s="120"/>
    </row>
    <row r="347" spans="5:28">
      <c r="E347" s="55"/>
      <c r="F347" s="55"/>
      <c r="G347" s="21"/>
      <c r="H347" s="21"/>
      <c r="I347" s="21"/>
      <c r="J347" s="21"/>
      <c r="K347" s="21"/>
      <c r="S347" s="114"/>
      <c r="T347" s="22"/>
      <c r="U347" s="21"/>
      <c r="V347" s="21"/>
      <c r="W347" s="20"/>
      <c r="X347" s="120"/>
      <c r="Y347" s="120"/>
      <c r="Z347" s="121"/>
      <c r="AA347" s="120"/>
      <c r="AB347" s="120"/>
    </row>
    <row r="348" spans="5:28">
      <c r="E348" s="55"/>
      <c r="F348" s="55"/>
      <c r="G348" s="21"/>
      <c r="H348" s="21"/>
      <c r="I348" s="21"/>
      <c r="J348" s="21"/>
      <c r="K348" s="21"/>
      <c r="S348" s="114"/>
      <c r="T348" s="22"/>
      <c r="U348" s="21"/>
      <c r="V348" s="21"/>
      <c r="W348" s="20"/>
      <c r="X348" s="120"/>
      <c r="Y348" s="120"/>
      <c r="Z348" s="121"/>
      <c r="AA348" s="120"/>
      <c r="AB348" s="120"/>
    </row>
    <row r="349" spans="5:28">
      <c r="E349" s="55"/>
      <c r="F349" s="55"/>
      <c r="G349" s="21"/>
      <c r="H349" s="21"/>
      <c r="I349" s="21"/>
      <c r="J349" s="21"/>
      <c r="K349" s="21"/>
      <c r="S349" s="114"/>
      <c r="T349" s="22"/>
      <c r="U349" s="21"/>
      <c r="V349" s="21"/>
      <c r="W349" s="20"/>
      <c r="X349" s="120"/>
      <c r="Y349" s="120"/>
      <c r="Z349" s="121"/>
      <c r="AA349" s="120"/>
      <c r="AB349" s="120"/>
    </row>
    <row r="350" spans="5:28">
      <c r="E350" s="55"/>
      <c r="F350" s="55"/>
      <c r="G350" s="21"/>
      <c r="H350" s="21"/>
      <c r="I350" s="21"/>
      <c r="J350" s="21"/>
      <c r="K350" s="21"/>
      <c r="S350" s="114"/>
      <c r="T350" s="22"/>
      <c r="U350" s="21"/>
      <c r="V350" s="21"/>
      <c r="W350" s="20"/>
      <c r="X350" s="120"/>
      <c r="Y350" s="120"/>
      <c r="Z350" s="121"/>
      <c r="AA350" s="120"/>
      <c r="AB350" s="120"/>
    </row>
    <row r="351" spans="5:28">
      <c r="E351" s="55"/>
      <c r="F351" s="55"/>
      <c r="G351" s="21"/>
      <c r="H351" s="21"/>
      <c r="I351" s="21"/>
      <c r="J351" s="21"/>
      <c r="K351" s="21"/>
      <c r="S351" s="114"/>
      <c r="T351" s="22"/>
      <c r="U351" s="21"/>
      <c r="V351" s="21"/>
      <c r="W351" s="20"/>
      <c r="X351" s="120"/>
      <c r="Y351" s="120"/>
      <c r="Z351" s="121"/>
      <c r="AA351" s="120"/>
      <c r="AB351" s="120"/>
    </row>
    <row r="352" spans="5:28">
      <c r="E352" s="55"/>
      <c r="F352" s="55"/>
      <c r="G352" s="21"/>
      <c r="H352" s="21"/>
      <c r="I352" s="21"/>
      <c r="J352" s="21"/>
      <c r="K352" s="21"/>
      <c r="S352" s="114"/>
      <c r="T352" s="22"/>
      <c r="U352" s="21"/>
      <c r="V352" s="21"/>
      <c r="W352" s="20"/>
      <c r="X352" s="120"/>
      <c r="Y352" s="120"/>
      <c r="Z352" s="121"/>
      <c r="AA352" s="120"/>
      <c r="AB352" s="120"/>
    </row>
    <row r="353" spans="5:28">
      <c r="E353" s="55"/>
      <c r="F353" s="55"/>
      <c r="G353" s="21"/>
      <c r="H353" s="21"/>
      <c r="I353" s="21"/>
      <c r="J353" s="21"/>
      <c r="K353" s="21"/>
      <c r="S353" s="114"/>
      <c r="T353" s="22"/>
      <c r="U353" s="21"/>
      <c r="V353" s="21"/>
      <c r="W353" s="20"/>
      <c r="X353" s="120"/>
      <c r="Y353" s="120"/>
      <c r="Z353" s="121"/>
      <c r="AA353" s="120"/>
      <c r="AB353" s="120"/>
    </row>
    <row r="354" spans="5:28">
      <c r="E354" s="55"/>
      <c r="F354" s="55"/>
      <c r="G354" s="21"/>
      <c r="H354" s="21"/>
      <c r="I354" s="21"/>
      <c r="J354" s="21"/>
      <c r="K354" s="21"/>
      <c r="S354" s="114"/>
      <c r="T354" s="22"/>
      <c r="U354" s="21"/>
      <c r="V354" s="21"/>
      <c r="W354" s="20"/>
      <c r="X354" s="120"/>
      <c r="Y354" s="120"/>
      <c r="Z354" s="121"/>
      <c r="AA354" s="120"/>
      <c r="AB354" s="120"/>
    </row>
    <row r="355" spans="5:28">
      <c r="E355" s="55"/>
      <c r="F355" s="55"/>
      <c r="G355" s="21"/>
      <c r="H355" s="21"/>
      <c r="I355" s="21"/>
      <c r="J355" s="21"/>
      <c r="K355" s="21"/>
      <c r="S355" s="114"/>
      <c r="T355" s="22"/>
      <c r="U355" s="21"/>
      <c r="V355" s="21"/>
      <c r="W355" s="20"/>
      <c r="X355" s="120"/>
      <c r="Y355" s="120"/>
      <c r="Z355" s="121"/>
      <c r="AA355" s="120"/>
      <c r="AB355" s="120"/>
    </row>
    <row r="356" spans="5:28">
      <c r="E356" s="55"/>
      <c r="F356" s="55"/>
      <c r="G356" s="21"/>
      <c r="H356" s="21"/>
      <c r="I356" s="21"/>
      <c r="J356" s="21"/>
      <c r="K356" s="21"/>
      <c r="S356" s="114"/>
      <c r="T356" s="22"/>
      <c r="U356" s="21"/>
      <c r="V356" s="21"/>
      <c r="W356" s="20"/>
      <c r="X356" s="120"/>
      <c r="Y356" s="120"/>
      <c r="Z356" s="121"/>
      <c r="AA356" s="120"/>
      <c r="AB356" s="120"/>
    </row>
    <row r="357" spans="5:28">
      <c r="E357" s="55"/>
      <c r="F357" s="55"/>
      <c r="G357" s="21"/>
      <c r="H357" s="21"/>
      <c r="I357" s="21"/>
      <c r="J357" s="21"/>
      <c r="K357" s="21"/>
      <c r="S357" s="114"/>
      <c r="T357" s="22"/>
      <c r="U357" s="21"/>
      <c r="V357" s="21"/>
      <c r="W357" s="20"/>
      <c r="X357" s="120"/>
      <c r="Y357" s="120"/>
      <c r="Z357" s="121"/>
      <c r="AA357" s="120"/>
      <c r="AB357" s="120"/>
    </row>
    <row r="358" spans="5:28">
      <c r="E358" s="55"/>
      <c r="F358" s="55"/>
      <c r="G358" s="21"/>
      <c r="H358" s="21"/>
      <c r="I358" s="21"/>
      <c r="J358" s="21"/>
      <c r="K358" s="21"/>
      <c r="S358" s="114"/>
      <c r="T358" s="22"/>
      <c r="U358" s="21"/>
      <c r="V358" s="21"/>
      <c r="W358" s="20"/>
      <c r="X358" s="120"/>
      <c r="Y358" s="120"/>
      <c r="Z358" s="121"/>
      <c r="AA358" s="120"/>
      <c r="AB358" s="120"/>
    </row>
    <row r="359" spans="5:28">
      <c r="E359" s="55"/>
      <c r="F359" s="55"/>
      <c r="G359" s="21"/>
      <c r="H359" s="21"/>
      <c r="I359" s="21"/>
      <c r="J359" s="21"/>
      <c r="K359" s="21"/>
      <c r="S359" s="114"/>
      <c r="T359" s="22"/>
      <c r="U359" s="21"/>
      <c r="V359" s="21"/>
      <c r="W359" s="20"/>
      <c r="X359" s="120"/>
      <c r="Y359" s="120"/>
      <c r="Z359" s="121"/>
      <c r="AA359" s="120"/>
      <c r="AB359" s="120"/>
    </row>
    <row r="360" spans="5:28">
      <c r="E360" s="55"/>
      <c r="F360" s="55"/>
      <c r="G360" s="21"/>
      <c r="H360" s="21"/>
      <c r="I360" s="21"/>
      <c r="J360" s="21"/>
      <c r="K360" s="21"/>
      <c r="S360" s="114"/>
      <c r="T360" s="22"/>
      <c r="U360" s="21"/>
      <c r="V360" s="21"/>
      <c r="W360" s="20"/>
      <c r="X360" s="120"/>
      <c r="Y360" s="120"/>
      <c r="Z360" s="121"/>
      <c r="AA360" s="120"/>
      <c r="AB360" s="120"/>
    </row>
    <row r="361" spans="5:28">
      <c r="E361" s="55"/>
      <c r="F361" s="55"/>
      <c r="G361" s="21"/>
      <c r="H361" s="21"/>
      <c r="I361" s="21"/>
      <c r="J361" s="21"/>
      <c r="K361" s="21"/>
      <c r="S361" s="114"/>
      <c r="T361" s="22"/>
      <c r="U361" s="21"/>
      <c r="V361" s="21"/>
      <c r="W361" s="20"/>
      <c r="X361" s="120"/>
      <c r="Y361" s="120"/>
      <c r="Z361" s="121"/>
      <c r="AA361" s="120"/>
      <c r="AB361" s="120"/>
    </row>
    <row r="362" spans="5:28">
      <c r="E362" s="55"/>
      <c r="F362" s="55"/>
      <c r="G362" s="21"/>
      <c r="H362" s="21"/>
      <c r="I362" s="21"/>
      <c r="J362" s="21"/>
      <c r="K362" s="21"/>
      <c r="S362" s="114"/>
      <c r="T362" s="22"/>
      <c r="U362" s="21"/>
      <c r="V362" s="21"/>
      <c r="W362" s="20"/>
      <c r="X362" s="120"/>
      <c r="Y362" s="120"/>
      <c r="Z362" s="121"/>
      <c r="AA362" s="120"/>
      <c r="AB362" s="120"/>
    </row>
    <row r="363" spans="5:28">
      <c r="E363" s="55"/>
      <c r="F363" s="55"/>
      <c r="G363" s="21"/>
      <c r="H363" s="21"/>
      <c r="I363" s="21"/>
      <c r="J363" s="21"/>
      <c r="K363" s="21"/>
      <c r="S363" s="114"/>
      <c r="T363" s="22"/>
      <c r="U363" s="21"/>
      <c r="V363" s="21"/>
      <c r="W363" s="20"/>
      <c r="X363" s="116"/>
      <c r="Y363" s="116"/>
      <c r="AA363" s="116"/>
      <c r="AB363" s="116"/>
    </row>
    <row r="364" spans="5:28">
      <c r="E364" s="55"/>
      <c r="F364" s="55"/>
      <c r="G364" s="21"/>
      <c r="H364" s="21"/>
      <c r="I364" s="21"/>
      <c r="J364" s="21"/>
      <c r="K364" s="21"/>
      <c r="S364" s="114"/>
      <c r="T364" s="22"/>
      <c r="U364" s="21"/>
      <c r="V364" s="21"/>
      <c r="W364" s="20"/>
      <c r="X364" s="116"/>
      <c r="Y364" s="116"/>
      <c r="AA364" s="116"/>
      <c r="AB364" s="116"/>
    </row>
    <row r="365" spans="5:28">
      <c r="E365" s="55"/>
      <c r="F365" s="55"/>
      <c r="G365" s="21"/>
      <c r="H365" s="21"/>
      <c r="I365" s="21"/>
      <c r="J365" s="21"/>
      <c r="K365" s="21"/>
      <c r="S365" s="114"/>
      <c r="T365" s="22"/>
      <c r="U365" s="21"/>
      <c r="V365" s="21"/>
      <c r="W365" s="20"/>
      <c r="X365" s="116"/>
      <c r="Y365" s="116"/>
      <c r="AA365" s="116"/>
      <c r="AB365" s="116"/>
    </row>
    <row r="366" spans="5:28">
      <c r="E366" s="55"/>
      <c r="F366" s="55"/>
      <c r="G366" s="21"/>
      <c r="H366" s="21"/>
      <c r="I366" s="21"/>
      <c r="J366" s="21"/>
      <c r="K366" s="21"/>
      <c r="S366" s="114"/>
      <c r="T366" s="22"/>
      <c r="U366" s="21"/>
      <c r="V366" s="21"/>
      <c r="W366" s="20"/>
      <c r="X366" s="116"/>
      <c r="Y366" s="116"/>
      <c r="AA366" s="116"/>
      <c r="AB366" s="116"/>
    </row>
    <row r="367" spans="5:28">
      <c r="E367" s="55"/>
      <c r="F367" s="55"/>
      <c r="G367" s="21"/>
      <c r="H367" s="21"/>
      <c r="I367" s="21"/>
      <c r="J367" s="21"/>
      <c r="K367" s="21"/>
      <c r="S367" s="114"/>
      <c r="T367" s="22"/>
      <c r="U367" s="21"/>
      <c r="V367" s="21"/>
      <c r="W367" s="20"/>
      <c r="X367" s="116"/>
      <c r="Y367" s="116"/>
      <c r="AA367" s="116"/>
      <c r="AB367" s="116"/>
    </row>
    <row r="368" spans="5:28">
      <c r="E368" s="55"/>
      <c r="F368" s="55"/>
      <c r="G368" s="21"/>
      <c r="H368" s="21"/>
      <c r="I368" s="21"/>
      <c r="J368" s="21"/>
      <c r="K368" s="21"/>
      <c r="S368" s="114"/>
      <c r="T368" s="22"/>
      <c r="U368" s="21"/>
      <c r="V368" s="21"/>
      <c r="W368" s="20"/>
      <c r="X368" s="116"/>
      <c r="Y368" s="116"/>
      <c r="AA368" s="116"/>
      <c r="AB368" s="116"/>
    </row>
    <row r="369" spans="5:28">
      <c r="E369" s="55"/>
      <c r="F369" s="55"/>
      <c r="G369" s="21"/>
      <c r="H369" s="21"/>
      <c r="I369" s="21"/>
      <c r="J369" s="21"/>
      <c r="K369" s="21"/>
      <c r="S369" s="114"/>
      <c r="T369" s="22"/>
      <c r="U369" s="21"/>
      <c r="V369" s="21"/>
      <c r="W369" s="20"/>
      <c r="X369" s="120"/>
      <c r="Y369" s="120"/>
      <c r="Z369" s="121"/>
      <c r="AA369" s="120"/>
      <c r="AB369" s="120"/>
    </row>
    <row r="370" spans="5:28">
      <c r="E370" s="55"/>
      <c r="F370" s="55"/>
      <c r="G370" s="21"/>
      <c r="H370" s="21"/>
      <c r="I370" s="21"/>
      <c r="J370" s="21"/>
      <c r="K370" s="21"/>
      <c r="S370" s="114"/>
      <c r="T370" s="22"/>
      <c r="U370" s="21"/>
      <c r="V370" s="21"/>
      <c r="W370" s="20"/>
      <c r="X370" s="120"/>
      <c r="Y370" s="120"/>
      <c r="Z370" s="121"/>
      <c r="AA370" s="120"/>
      <c r="AB370" s="120"/>
    </row>
    <row r="371" spans="5:28">
      <c r="E371" s="55"/>
      <c r="F371" s="55"/>
      <c r="G371" s="21"/>
      <c r="H371" s="21"/>
      <c r="I371" s="21"/>
      <c r="J371" s="21"/>
      <c r="K371" s="21"/>
      <c r="S371" s="114"/>
      <c r="T371" s="22"/>
      <c r="U371" s="21"/>
      <c r="V371" s="21"/>
      <c r="W371" s="20"/>
      <c r="X371" s="120"/>
      <c r="Y371" s="120"/>
      <c r="Z371" s="121"/>
      <c r="AA371" s="120"/>
      <c r="AB371" s="120"/>
    </row>
    <row r="372" spans="5:28">
      <c r="E372" s="55"/>
      <c r="F372" s="55"/>
      <c r="G372" s="21"/>
      <c r="H372" s="21"/>
      <c r="I372" s="21"/>
      <c r="J372" s="21"/>
      <c r="K372" s="21"/>
      <c r="S372" s="114"/>
      <c r="T372" s="22"/>
      <c r="U372" s="21"/>
      <c r="V372" s="21"/>
      <c r="W372" s="20"/>
      <c r="X372" s="120"/>
      <c r="Y372" s="120"/>
      <c r="Z372" s="121"/>
      <c r="AA372" s="120"/>
      <c r="AB372" s="120"/>
    </row>
    <row r="373" spans="5:28">
      <c r="E373" s="55"/>
      <c r="F373" s="55"/>
      <c r="G373" s="21"/>
      <c r="H373" s="21"/>
      <c r="I373" s="21"/>
      <c r="J373" s="21"/>
      <c r="K373" s="21"/>
      <c r="S373" s="114"/>
      <c r="T373" s="22"/>
      <c r="U373" s="21"/>
      <c r="V373" s="21"/>
      <c r="W373" s="20"/>
      <c r="X373" s="120"/>
      <c r="Y373" s="120"/>
      <c r="Z373" s="121"/>
      <c r="AA373" s="120"/>
      <c r="AB373" s="120"/>
    </row>
    <row r="374" spans="5:28">
      <c r="E374" s="55"/>
      <c r="F374" s="55"/>
      <c r="G374" s="21"/>
      <c r="H374" s="21"/>
      <c r="I374" s="21"/>
      <c r="J374" s="21"/>
      <c r="K374" s="21"/>
      <c r="S374" s="114"/>
      <c r="T374" s="22"/>
      <c r="U374" s="21"/>
      <c r="V374" s="21"/>
      <c r="W374" s="20"/>
      <c r="X374" s="120"/>
      <c r="Y374" s="120"/>
      <c r="Z374" s="121"/>
      <c r="AA374" s="120"/>
      <c r="AB374" s="120"/>
    </row>
    <row r="375" spans="5:28">
      <c r="E375" s="55"/>
      <c r="F375" s="55"/>
      <c r="G375" s="21"/>
      <c r="H375" s="21"/>
      <c r="I375" s="21"/>
      <c r="J375" s="21"/>
      <c r="K375" s="21"/>
      <c r="S375" s="114"/>
      <c r="T375" s="22"/>
      <c r="U375" s="21"/>
      <c r="V375" s="21"/>
      <c r="W375" s="20"/>
      <c r="X375" s="116"/>
      <c r="Y375" s="116"/>
      <c r="AA375" s="116"/>
      <c r="AB375" s="116"/>
    </row>
    <row r="376" spans="5:28">
      <c r="E376" s="55"/>
      <c r="F376" s="55"/>
      <c r="G376" s="21"/>
      <c r="H376" s="21"/>
      <c r="I376" s="21"/>
      <c r="J376" s="21"/>
      <c r="K376" s="21"/>
      <c r="S376" s="114"/>
      <c r="T376" s="22"/>
      <c r="U376" s="21"/>
      <c r="V376" s="21"/>
      <c r="W376" s="20"/>
      <c r="X376" s="116"/>
      <c r="Y376" s="116"/>
      <c r="AA376" s="116"/>
      <c r="AB376" s="116"/>
    </row>
    <row r="377" spans="5:28">
      <c r="E377" s="55"/>
      <c r="F377" s="55"/>
      <c r="G377" s="21"/>
      <c r="H377" s="21"/>
      <c r="I377" s="21"/>
      <c r="J377" s="21"/>
      <c r="K377" s="21"/>
      <c r="S377" s="114"/>
      <c r="T377" s="22"/>
      <c r="U377" s="21"/>
      <c r="V377" s="21"/>
      <c r="W377" s="20"/>
      <c r="X377" s="116"/>
      <c r="Y377" s="116"/>
      <c r="AA377" s="116"/>
      <c r="AB377" s="116"/>
    </row>
    <row r="378" spans="5:28">
      <c r="E378" s="55"/>
      <c r="F378" s="55"/>
      <c r="G378" s="21"/>
      <c r="H378" s="21"/>
      <c r="I378" s="21"/>
      <c r="J378" s="21"/>
      <c r="K378" s="21"/>
      <c r="S378" s="114"/>
      <c r="T378" s="22"/>
      <c r="U378" s="21"/>
      <c r="V378" s="21"/>
      <c r="W378" s="20"/>
      <c r="X378" s="116"/>
      <c r="Y378" s="116"/>
      <c r="AA378" s="116"/>
      <c r="AB378" s="116"/>
    </row>
    <row r="379" spans="5:28">
      <c r="E379" s="55"/>
      <c r="F379" s="55"/>
      <c r="G379" s="21"/>
      <c r="H379" s="21"/>
      <c r="I379" s="21"/>
      <c r="J379" s="21"/>
      <c r="K379" s="21"/>
      <c r="S379" s="114"/>
      <c r="T379" s="22"/>
      <c r="U379" s="21"/>
      <c r="V379" s="21"/>
      <c r="W379" s="20"/>
      <c r="X379" s="116"/>
      <c r="Y379" s="116"/>
      <c r="AA379" s="116"/>
      <c r="AB379" s="116"/>
    </row>
    <row r="380" spans="5:28">
      <c r="E380" s="55"/>
      <c r="F380" s="55"/>
      <c r="G380" s="21"/>
      <c r="H380" s="21"/>
      <c r="I380" s="21"/>
      <c r="J380" s="21"/>
      <c r="K380" s="21"/>
      <c r="S380" s="114"/>
      <c r="T380" s="22"/>
      <c r="U380" s="21"/>
      <c r="V380" s="21"/>
      <c r="W380" s="20"/>
      <c r="X380" s="116"/>
      <c r="Y380" s="116"/>
      <c r="AA380" s="116"/>
      <c r="AB380" s="116"/>
    </row>
    <row r="381" spans="5:28">
      <c r="E381" s="55"/>
      <c r="F381" s="55"/>
      <c r="G381" s="21"/>
      <c r="H381" s="21"/>
      <c r="I381" s="21"/>
      <c r="J381" s="21"/>
      <c r="K381" s="21"/>
      <c r="S381" s="114"/>
      <c r="T381" s="22"/>
      <c r="U381" s="21"/>
      <c r="V381" s="21"/>
      <c r="W381" s="20"/>
      <c r="X381" s="116"/>
      <c r="Y381" s="116"/>
      <c r="AA381" s="116"/>
      <c r="AB381" s="116"/>
    </row>
    <row r="382" spans="5:28">
      <c r="E382" s="55"/>
      <c r="F382" s="55"/>
      <c r="G382" s="21"/>
      <c r="H382" s="21"/>
      <c r="I382" s="21"/>
      <c r="J382" s="21"/>
      <c r="K382" s="21"/>
      <c r="S382" s="114"/>
      <c r="T382" s="22"/>
      <c r="U382" s="21"/>
      <c r="V382" s="21"/>
      <c r="W382" s="20"/>
      <c r="X382" s="116"/>
      <c r="Y382" s="116"/>
      <c r="AA382" s="116"/>
      <c r="AB382" s="116"/>
    </row>
    <row r="383" spans="5:28">
      <c r="E383" s="55"/>
      <c r="F383" s="55"/>
      <c r="G383" s="21"/>
      <c r="H383" s="21"/>
      <c r="I383" s="21"/>
      <c r="J383" s="21"/>
      <c r="K383" s="21"/>
      <c r="S383" s="114"/>
      <c r="T383" s="22"/>
      <c r="U383" s="21"/>
      <c r="V383" s="21"/>
      <c r="W383" s="20"/>
      <c r="X383" s="116"/>
      <c r="Y383" s="116"/>
      <c r="AA383" s="116"/>
      <c r="AB383" s="116"/>
    </row>
    <row r="384" spans="5:28">
      <c r="E384" s="55"/>
      <c r="F384" s="55"/>
      <c r="G384" s="21"/>
      <c r="H384" s="21"/>
      <c r="I384" s="21"/>
      <c r="J384" s="21"/>
      <c r="K384" s="21"/>
      <c r="S384" s="114"/>
      <c r="T384" s="22"/>
      <c r="U384" s="21"/>
      <c r="V384" s="21"/>
      <c r="W384" s="20"/>
      <c r="X384" s="116"/>
      <c r="Y384" s="116"/>
      <c r="AA384" s="116"/>
      <c r="AB384" s="116"/>
    </row>
    <row r="385" spans="5:28">
      <c r="E385" s="55"/>
      <c r="F385" s="55"/>
      <c r="G385" s="21"/>
      <c r="H385" s="21"/>
      <c r="I385" s="21"/>
      <c r="J385" s="21"/>
      <c r="K385" s="21"/>
      <c r="S385" s="114"/>
      <c r="T385" s="22"/>
      <c r="U385" s="21"/>
      <c r="V385" s="21"/>
      <c r="W385" s="20"/>
      <c r="X385" s="116"/>
      <c r="Y385" s="116"/>
      <c r="AA385" s="116"/>
      <c r="AB385" s="116"/>
    </row>
    <row r="386" spans="5:28">
      <c r="E386" s="55"/>
      <c r="F386" s="55"/>
      <c r="G386" s="21"/>
      <c r="H386" s="21"/>
      <c r="I386" s="21"/>
      <c r="J386" s="21"/>
      <c r="K386" s="21"/>
      <c r="S386" s="114"/>
      <c r="T386" s="22"/>
      <c r="U386" s="21"/>
      <c r="V386" s="21"/>
      <c r="W386" s="20"/>
      <c r="X386" s="116"/>
      <c r="Y386" s="116"/>
      <c r="AA386" s="116"/>
      <c r="AB386" s="116"/>
    </row>
    <row r="387" spans="5:28">
      <c r="E387" s="55"/>
      <c r="F387" s="55"/>
      <c r="G387" s="21"/>
      <c r="H387" s="21"/>
      <c r="I387" s="21"/>
      <c r="J387" s="21"/>
      <c r="K387" s="21"/>
      <c r="S387" s="114"/>
      <c r="T387" s="22"/>
      <c r="U387" s="21"/>
      <c r="V387" s="21"/>
      <c r="W387" s="20"/>
      <c r="X387" s="116"/>
      <c r="Y387" s="116"/>
      <c r="AA387" s="116"/>
      <c r="AB387" s="116"/>
    </row>
    <row r="388" spans="5:28">
      <c r="E388" s="55"/>
      <c r="F388" s="55"/>
      <c r="G388" s="21"/>
      <c r="H388" s="21"/>
      <c r="I388" s="21"/>
      <c r="J388" s="21"/>
      <c r="K388" s="21"/>
      <c r="S388" s="114"/>
      <c r="T388" s="22"/>
      <c r="U388" s="21"/>
      <c r="V388" s="21"/>
      <c r="W388" s="20"/>
      <c r="X388" s="116"/>
      <c r="Y388" s="116"/>
      <c r="AA388" s="116"/>
      <c r="AB388" s="116"/>
    </row>
    <row r="389" spans="5:28">
      <c r="E389" s="55"/>
      <c r="F389" s="55"/>
      <c r="G389" s="21"/>
      <c r="H389" s="21"/>
      <c r="I389" s="21"/>
      <c r="J389" s="21"/>
      <c r="K389" s="21"/>
      <c r="S389" s="114"/>
      <c r="T389" s="22"/>
      <c r="U389" s="21"/>
      <c r="V389" s="21"/>
      <c r="W389" s="20"/>
      <c r="X389" s="116"/>
      <c r="Y389" s="116"/>
      <c r="AA389" s="116"/>
      <c r="AB389" s="116"/>
    </row>
    <row r="390" spans="5:28">
      <c r="E390" s="55"/>
      <c r="F390" s="55"/>
      <c r="G390" s="21"/>
      <c r="H390" s="21"/>
      <c r="I390" s="21"/>
      <c r="J390" s="21"/>
      <c r="K390" s="21"/>
      <c r="S390" s="114"/>
      <c r="T390" s="22"/>
      <c r="U390" s="21"/>
      <c r="V390" s="21"/>
      <c r="W390" s="20"/>
      <c r="X390" s="116"/>
      <c r="Y390" s="116"/>
      <c r="AA390" s="116"/>
      <c r="AB390" s="116"/>
    </row>
    <row r="391" spans="5:28">
      <c r="E391" s="55"/>
      <c r="F391" s="55"/>
      <c r="G391" s="21"/>
      <c r="H391" s="21"/>
      <c r="I391" s="21"/>
      <c r="J391" s="21"/>
      <c r="K391" s="21"/>
      <c r="S391" s="114"/>
      <c r="T391" s="22"/>
      <c r="U391" s="21"/>
      <c r="V391" s="21"/>
      <c r="W391" s="20"/>
      <c r="X391" s="116"/>
      <c r="Y391" s="116"/>
      <c r="AA391" s="116"/>
      <c r="AB391" s="116"/>
    </row>
    <row r="392" spans="5:28">
      <c r="E392" s="55"/>
      <c r="F392" s="55"/>
      <c r="G392" s="21"/>
      <c r="H392" s="21"/>
      <c r="I392" s="21"/>
      <c r="J392" s="21"/>
      <c r="K392" s="21"/>
      <c r="S392" s="114"/>
      <c r="T392" s="22"/>
      <c r="U392" s="21"/>
      <c r="V392" s="21"/>
      <c r="W392" s="20"/>
      <c r="X392" s="116"/>
      <c r="Y392" s="116"/>
      <c r="AA392" s="116"/>
      <c r="AB392" s="116"/>
    </row>
    <row r="393" spans="5:28">
      <c r="E393" s="55"/>
      <c r="F393" s="55"/>
      <c r="G393" s="21"/>
      <c r="H393" s="21"/>
      <c r="I393" s="21"/>
      <c r="J393" s="21"/>
      <c r="K393" s="21"/>
      <c r="S393" s="114"/>
      <c r="T393" s="22"/>
      <c r="U393" s="21"/>
      <c r="V393" s="21"/>
      <c r="W393" s="20"/>
      <c r="X393" s="116"/>
      <c r="Y393" s="116"/>
      <c r="AA393" s="116"/>
      <c r="AB393" s="116"/>
    </row>
    <row r="394" spans="5:28">
      <c r="E394" s="55"/>
      <c r="F394" s="55"/>
      <c r="G394" s="21"/>
      <c r="H394" s="21"/>
      <c r="I394" s="21"/>
      <c r="J394" s="21"/>
      <c r="K394" s="21"/>
      <c r="S394" s="114"/>
      <c r="T394" s="22"/>
      <c r="U394" s="21"/>
      <c r="V394" s="21"/>
      <c r="W394" s="20"/>
      <c r="X394" s="116"/>
      <c r="Y394" s="116"/>
      <c r="AA394" s="116"/>
      <c r="AB394" s="116"/>
    </row>
    <row r="395" spans="5:28">
      <c r="E395" s="55"/>
      <c r="F395" s="55"/>
      <c r="G395" s="21"/>
      <c r="H395" s="21"/>
      <c r="I395" s="21"/>
      <c r="J395" s="21"/>
      <c r="K395" s="21"/>
      <c r="S395" s="114"/>
      <c r="T395" s="22"/>
      <c r="U395" s="21"/>
      <c r="V395" s="21"/>
      <c r="W395" s="20"/>
      <c r="X395" s="116"/>
      <c r="Y395" s="116"/>
      <c r="AA395" s="116"/>
      <c r="AB395" s="116"/>
    </row>
    <row r="396" spans="5:28">
      <c r="E396" s="55"/>
      <c r="F396" s="55"/>
      <c r="G396" s="21"/>
      <c r="H396" s="21"/>
      <c r="I396" s="21"/>
      <c r="J396" s="21"/>
      <c r="K396" s="21"/>
      <c r="S396" s="114"/>
      <c r="T396" s="22"/>
      <c r="U396" s="21"/>
      <c r="V396" s="21"/>
      <c r="W396" s="20"/>
      <c r="X396" s="116"/>
      <c r="Y396" s="116"/>
      <c r="AA396" s="116"/>
      <c r="AB396" s="116"/>
    </row>
    <row r="397" spans="5:28">
      <c r="E397" s="55"/>
      <c r="F397" s="55"/>
      <c r="G397" s="21"/>
      <c r="H397" s="21"/>
      <c r="I397" s="21"/>
      <c r="J397" s="21"/>
      <c r="K397" s="21"/>
      <c r="S397" s="114"/>
      <c r="T397" s="22"/>
      <c r="U397" s="21"/>
      <c r="V397" s="21"/>
      <c r="W397" s="20"/>
      <c r="X397" s="116"/>
      <c r="Y397" s="116"/>
      <c r="AA397" s="116"/>
      <c r="AB397" s="116"/>
    </row>
    <row r="398" spans="5:28">
      <c r="E398" s="55"/>
      <c r="F398" s="55"/>
      <c r="G398" s="21"/>
      <c r="H398" s="21"/>
      <c r="I398" s="21"/>
      <c r="J398" s="21"/>
      <c r="K398" s="21"/>
      <c r="S398" s="114"/>
      <c r="T398" s="22"/>
      <c r="U398" s="21"/>
      <c r="V398" s="21"/>
      <c r="W398" s="20"/>
      <c r="X398" s="116"/>
      <c r="Y398" s="116"/>
      <c r="AA398" s="116"/>
      <c r="AB398" s="116"/>
    </row>
    <row r="399" spans="5:28">
      <c r="E399" s="55"/>
      <c r="F399" s="55"/>
      <c r="G399" s="21"/>
      <c r="H399" s="21"/>
      <c r="I399" s="21"/>
      <c r="J399" s="21"/>
      <c r="K399" s="21"/>
      <c r="S399" s="114"/>
      <c r="T399" s="22"/>
      <c r="U399" s="21"/>
      <c r="V399" s="21"/>
      <c r="W399" s="20"/>
      <c r="X399" s="116"/>
      <c r="Y399" s="116"/>
      <c r="AA399" s="116"/>
      <c r="AB399" s="116"/>
    </row>
    <row r="400" spans="5:28">
      <c r="E400" s="55"/>
      <c r="F400" s="55"/>
      <c r="G400" s="21"/>
      <c r="H400" s="21"/>
      <c r="I400" s="21"/>
      <c r="J400" s="21"/>
      <c r="K400" s="21"/>
      <c r="S400" s="114"/>
      <c r="T400" s="22"/>
      <c r="U400" s="21"/>
      <c r="V400" s="21"/>
      <c r="W400" s="20"/>
      <c r="X400" s="116"/>
      <c r="Y400" s="116"/>
      <c r="AA400" s="116"/>
      <c r="AB400" s="116"/>
    </row>
    <row r="401" spans="5:28">
      <c r="E401" s="55"/>
      <c r="F401" s="55"/>
      <c r="G401" s="21"/>
      <c r="H401" s="21"/>
      <c r="I401" s="21"/>
      <c r="J401" s="21"/>
      <c r="K401" s="21"/>
      <c r="S401" s="114"/>
      <c r="T401" s="22"/>
      <c r="U401" s="21"/>
      <c r="V401" s="21"/>
      <c r="W401" s="20"/>
      <c r="X401" s="116"/>
      <c r="Y401" s="116"/>
      <c r="AA401" s="116"/>
      <c r="AB401" s="116"/>
    </row>
    <row r="402" spans="5:28">
      <c r="E402" s="55"/>
      <c r="F402" s="55"/>
      <c r="G402" s="21"/>
      <c r="H402" s="21"/>
      <c r="I402" s="21"/>
      <c r="J402" s="21"/>
      <c r="K402" s="21"/>
      <c r="S402" s="114"/>
      <c r="T402" s="22"/>
      <c r="U402" s="21"/>
      <c r="V402" s="21"/>
      <c r="W402" s="20"/>
      <c r="X402" s="116"/>
      <c r="Y402" s="116"/>
      <c r="AA402" s="116"/>
      <c r="AB402" s="116"/>
    </row>
    <row r="403" spans="5:28">
      <c r="E403" s="55"/>
      <c r="F403" s="55"/>
      <c r="G403" s="21"/>
      <c r="H403" s="21"/>
      <c r="I403" s="21"/>
      <c r="J403" s="21"/>
      <c r="K403" s="21"/>
      <c r="S403" s="114"/>
      <c r="T403" s="22"/>
      <c r="U403" s="21"/>
      <c r="V403" s="21"/>
      <c r="W403" s="20"/>
      <c r="X403" s="116"/>
      <c r="Y403" s="116"/>
      <c r="AA403" s="116"/>
      <c r="AB403" s="116"/>
    </row>
    <row r="404" spans="5:28">
      <c r="E404" s="55"/>
      <c r="F404" s="55"/>
      <c r="G404" s="21"/>
      <c r="H404" s="21"/>
      <c r="I404" s="21"/>
      <c r="J404" s="21"/>
      <c r="K404" s="21"/>
      <c r="S404" s="114"/>
      <c r="T404" s="22"/>
      <c r="U404" s="21"/>
      <c r="V404" s="21"/>
      <c r="W404" s="20"/>
      <c r="X404" s="116"/>
      <c r="Y404" s="116"/>
      <c r="AA404" s="116"/>
      <c r="AB404" s="116"/>
    </row>
    <row r="405" spans="5:28">
      <c r="E405" s="55"/>
      <c r="F405" s="55"/>
      <c r="G405" s="21"/>
      <c r="H405" s="21"/>
      <c r="I405" s="21"/>
      <c r="J405" s="21"/>
      <c r="K405" s="21"/>
      <c r="S405" s="114"/>
      <c r="T405" s="22"/>
      <c r="U405" s="21"/>
      <c r="V405" s="21"/>
      <c r="W405" s="20"/>
      <c r="X405" s="116"/>
      <c r="Y405" s="116"/>
      <c r="AA405" s="116"/>
      <c r="AB405" s="116"/>
    </row>
    <row r="406" spans="5:28">
      <c r="E406" s="55"/>
      <c r="F406" s="55"/>
      <c r="G406" s="21"/>
      <c r="H406" s="21"/>
      <c r="I406" s="21"/>
      <c r="J406" s="21"/>
      <c r="K406" s="21"/>
      <c r="S406" s="114"/>
      <c r="T406" s="22"/>
      <c r="U406" s="21"/>
      <c r="V406" s="21"/>
      <c r="W406" s="20"/>
      <c r="X406" s="116"/>
      <c r="Y406" s="116"/>
      <c r="AA406" s="116"/>
      <c r="AB406" s="116"/>
    </row>
    <row r="407" spans="5:28">
      <c r="E407" s="55"/>
      <c r="F407" s="55"/>
      <c r="G407" s="21"/>
      <c r="H407" s="21"/>
      <c r="I407" s="21"/>
      <c r="J407" s="21"/>
      <c r="K407" s="21"/>
      <c r="S407" s="114"/>
      <c r="T407" s="22"/>
      <c r="U407" s="21"/>
      <c r="V407" s="21"/>
      <c r="W407" s="20"/>
      <c r="X407" s="116"/>
      <c r="Y407" s="116"/>
      <c r="AA407" s="116"/>
      <c r="AB407" s="116"/>
    </row>
    <row r="408" spans="5:28">
      <c r="E408" s="55"/>
      <c r="F408" s="55"/>
      <c r="G408" s="21"/>
      <c r="H408" s="21"/>
      <c r="I408" s="21"/>
      <c r="J408" s="21"/>
      <c r="K408" s="21"/>
      <c r="S408" s="114"/>
      <c r="T408" s="22"/>
      <c r="U408" s="21"/>
      <c r="V408" s="21"/>
      <c r="W408" s="20"/>
      <c r="X408" s="116"/>
      <c r="Y408" s="116"/>
      <c r="AA408" s="116"/>
      <c r="AB408" s="116"/>
    </row>
    <row r="409" spans="5:28">
      <c r="E409" s="55"/>
      <c r="F409" s="55"/>
      <c r="G409" s="21"/>
      <c r="H409" s="21"/>
      <c r="I409" s="21"/>
      <c r="J409" s="21"/>
      <c r="K409" s="21"/>
      <c r="S409" s="114"/>
      <c r="T409" s="22"/>
      <c r="U409" s="21"/>
      <c r="V409" s="21"/>
      <c r="W409" s="20"/>
      <c r="X409" s="116"/>
      <c r="Y409" s="116"/>
      <c r="AA409" s="116"/>
      <c r="AB409" s="116"/>
    </row>
    <row r="410" spans="5:28">
      <c r="E410" s="55"/>
      <c r="F410" s="55"/>
      <c r="G410" s="21"/>
      <c r="H410" s="21"/>
      <c r="I410" s="21"/>
      <c r="J410" s="21"/>
      <c r="K410" s="21"/>
      <c r="S410" s="114"/>
      <c r="T410" s="22"/>
      <c r="U410" s="21"/>
      <c r="V410" s="21"/>
      <c r="W410" s="20"/>
      <c r="X410" s="116"/>
      <c r="Y410" s="116"/>
      <c r="AA410" s="116"/>
      <c r="AB410" s="116"/>
    </row>
    <row r="411" spans="5:28">
      <c r="E411" s="55"/>
      <c r="F411" s="55"/>
      <c r="G411" s="21"/>
      <c r="H411" s="21"/>
      <c r="I411" s="21"/>
      <c r="J411" s="21"/>
      <c r="K411" s="21"/>
      <c r="S411" s="114"/>
      <c r="T411" s="22"/>
      <c r="U411" s="21"/>
      <c r="V411" s="21"/>
      <c r="W411" s="20"/>
      <c r="X411" s="116"/>
      <c r="Y411" s="116"/>
      <c r="AA411" s="116"/>
      <c r="AB411" s="116"/>
    </row>
    <row r="412" spans="5:28">
      <c r="E412" s="55"/>
      <c r="F412" s="55"/>
      <c r="G412" s="21"/>
      <c r="H412" s="21"/>
      <c r="I412" s="21"/>
      <c r="J412" s="21"/>
      <c r="K412" s="21"/>
      <c r="S412" s="114"/>
      <c r="T412" s="22"/>
      <c r="U412" s="21"/>
      <c r="V412" s="21"/>
      <c r="W412" s="20"/>
      <c r="X412" s="116"/>
      <c r="Y412" s="116"/>
      <c r="AA412" s="116"/>
      <c r="AB412" s="116"/>
    </row>
    <row r="413" spans="5:28">
      <c r="E413" s="55"/>
      <c r="F413" s="55"/>
      <c r="G413" s="21"/>
      <c r="H413" s="21"/>
      <c r="I413" s="21"/>
      <c r="J413" s="21"/>
      <c r="K413" s="21"/>
      <c r="S413" s="114"/>
      <c r="T413" s="22"/>
      <c r="U413" s="21"/>
      <c r="V413" s="21"/>
      <c r="W413" s="20"/>
      <c r="X413" s="116"/>
      <c r="Y413" s="116"/>
      <c r="AA413" s="116"/>
      <c r="AB413" s="116"/>
    </row>
    <row r="414" spans="5:28">
      <c r="E414" s="55"/>
      <c r="F414" s="55"/>
      <c r="G414" s="21"/>
      <c r="H414" s="21"/>
      <c r="I414" s="21"/>
      <c r="J414" s="21"/>
      <c r="K414" s="21"/>
      <c r="S414" s="114"/>
      <c r="T414" s="22"/>
      <c r="U414" s="21"/>
      <c r="V414" s="21"/>
      <c r="W414" s="20"/>
      <c r="X414" s="116"/>
      <c r="Y414" s="116"/>
      <c r="AA414" s="116"/>
      <c r="AB414" s="116"/>
    </row>
    <row r="415" spans="5:28">
      <c r="E415" s="55"/>
      <c r="F415" s="55"/>
      <c r="G415" s="21"/>
      <c r="H415" s="21"/>
      <c r="I415" s="21"/>
      <c r="J415" s="21"/>
      <c r="K415" s="21"/>
      <c r="S415" s="114"/>
      <c r="T415" s="22"/>
      <c r="U415" s="21"/>
      <c r="V415" s="21"/>
      <c r="W415" s="20"/>
      <c r="X415" s="116"/>
      <c r="Y415" s="116"/>
      <c r="AA415" s="116"/>
      <c r="AB415" s="116"/>
    </row>
    <row r="416" spans="5:28">
      <c r="E416" s="55"/>
      <c r="F416" s="55"/>
      <c r="G416" s="21"/>
      <c r="H416" s="21"/>
      <c r="I416" s="21"/>
      <c r="J416" s="21"/>
      <c r="K416" s="21"/>
      <c r="S416" s="114"/>
      <c r="T416" s="22"/>
      <c r="U416" s="21"/>
      <c r="V416" s="21"/>
      <c r="W416" s="20"/>
      <c r="X416" s="116"/>
      <c r="Y416" s="116"/>
      <c r="AA416" s="116"/>
      <c r="AB416" s="116"/>
    </row>
    <row r="417" spans="5:28">
      <c r="E417" s="55"/>
      <c r="F417" s="55"/>
      <c r="G417" s="21"/>
      <c r="H417" s="21"/>
      <c r="I417" s="21"/>
      <c r="J417" s="21"/>
      <c r="K417" s="21"/>
      <c r="S417" s="114"/>
      <c r="T417" s="22"/>
      <c r="U417" s="21"/>
      <c r="V417" s="21"/>
      <c r="W417" s="20"/>
      <c r="X417" s="116"/>
      <c r="Y417" s="116"/>
      <c r="AA417" s="116"/>
      <c r="AB417" s="116"/>
    </row>
    <row r="418" spans="5:28">
      <c r="E418" s="55"/>
      <c r="F418" s="55"/>
      <c r="G418" s="21"/>
      <c r="H418" s="21"/>
      <c r="I418" s="21"/>
      <c r="J418" s="21"/>
      <c r="K418" s="21"/>
      <c r="S418" s="114"/>
      <c r="T418" s="22"/>
      <c r="U418" s="21"/>
      <c r="V418" s="21"/>
      <c r="W418" s="20"/>
      <c r="X418" s="116"/>
      <c r="Y418" s="116"/>
      <c r="AA418" s="116"/>
      <c r="AB418" s="116"/>
    </row>
    <row r="419" spans="5:28">
      <c r="E419" s="55"/>
      <c r="F419" s="55"/>
      <c r="G419" s="21"/>
      <c r="H419" s="21"/>
      <c r="I419" s="21"/>
      <c r="J419" s="21"/>
      <c r="K419" s="21"/>
      <c r="S419" s="114"/>
      <c r="T419" s="22"/>
      <c r="U419" s="21"/>
      <c r="V419" s="21"/>
      <c r="W419" s="20"/>
      <c r="X419" s="116"/>
      <c r="Y419" s="116"/>
      <c r="AA419" s="116"/>
      <c r="AB419" s="116"/>
    </row>
    <row r="420" spans="5:28">
      <c r="E420" s="55"/>
      <c r="F420" s="55"/>
      <c r="G420" s="21"/>
      <c r="H420" s="21"/>
      <c r="I420" s="21"/>
      <c r="J420" s="21"/>
      <c r="K420" s="21"/>
      <c r="S420" s="114"/>
      <c r="T420" s="22"/>
      <c r="U420" s="21"/>
      <c r="V420" s="21"/>
      <c r="W420" s="20"/>
      <c r="X420" s="116"/>
      <c r="Y420" s="116"/>
      <c r="AA420" s="116"/>
      <c r="AB420" s="116"/>
    </row>
    <row r="421" spans="5:28">
      <c r="E421" s="55"/>
      <c r="F421" s="55"/>
      <c r="G421" s="21"/>
      <c r="H421" s="21"/>
      <c r="I421" s="21"/>
      <c r="J421" s="21"/>
      <c r="K421" s="21"/>
      <c r="S421" s="114"/>
      <c r="T421" s="22"/>
      <c r="U421" s="21"/>
      <c r="V421" s="21"/>
      <c r="W421" s="20"/>
      <c r="X421" s="116"/>
      <c r="Y421" s="116"/>
      <c r="AA421" s="116"/>
      <c r="AB421" s="116"/>
    </row>
    <row r="422" spans="5:28">
      <c r="E422" s="55"/>
      <c r="F422" s="55"/>
      <c r="G422" s="21"/>
      <c r="H422" s="21"/>
      <c r="I422" s="21"/>
      <c r="J422" s="21"/>
      <c r="K422" s="21"/>
      <c r="S422" s="114"/>
      <c r="T422" s="22"/>
      <c r="U422" s="21"/>
      <c r="V422" s="21"/>
      <c r="W422" s="20"/>
      <c r="X422" s="116"/>
      <c r="Y422" s="116"/>
      <c r="AA422" s="116"/>
      <c r="AB422" s="116"/>
    </row>
    <row r="423" spans="5:28">
      <c r="E423" s="55"/>
      <c r="F423" s="55"/>
      <c r="G423" s="21"/>
      <c r="H423" s="21"/>
      <c r="I423" s="21"/>
      <c r="J423" s="21"/>
      <c r="K423" s="21"/>
      <c r="S423" s="114"/>
      <c r="T423" s="22"/>
      <c r="U423" s="21"/>
      <c r="V423" s="21"/>
      <c r="W423" s="20"/>
      <c r="X423" s="116"/>
      <c r="Y423" s="116"/>
      <c r="AA423" s="116"/>
      <c r="AB423" s="116"/>
    </row>
    <row r="424" spans="5:28">
      <c r="E424" s="55"/>
      <c r="F424" s="55"/>
      <c r="G424" s="21"/>
      <c r="H424" s="21"/>
      <c r="I424" s="21"/>
      <c r="J424" s="21"/>
      <c r="K424" s="21"/>
      <c r="S424" s="114"/>
      <c r="T424" s="22"/>
      <c r="U424" s="21"/>
      <c r="V424" s="21"/>
      <c r="W424" s="20"/>
      <c r="X424" s="116"/>
      <c r="Y424" s="116"/>
      <c r="AA424" s="116"/>
      <c r="AB424" s="116"/>
    </row>
    <row r="425" spans="5:28">
      <c r="E425" s="55"/>
      <c r="F425" s="55"/>
      <c r="G425" s="21"/>
      <c r="H425" s="21"/>
      <c r="I425" s="21"/>
      <c r="J425" s="21"/>
      <c r="K425" s="21"/>
      <c r="S425" s="114"/>
      <c r="T425" s="22"/>
      <c r="U425" s="21"/>
      <c r="V425" s="21"/>
      <c r="W425" s="20"/>
      <c r="X425" s="116"/>
      <c r="Y425" s="116"/>
      <c r="AA425" s="116"/>
      <c r="AB425" s="116"/>
    </row>
    <row r="426" spans="5:28">
      <c r="E426" s="55"/>
      <c r="F426" s="55"/>
      <c r="G426" s="21"/>
      <c r="H426" s="21"/>
      <c r="I426" s="21"/>
      <c r="J426" s="21"/>
      <c r="K426" s="21"/>
      <c r="S426" s="114"/>
      <c r="T426" s="22"/>
      <c r="U426" s="21"/>
      <c r="V426" s="21"/>
      <c r="W426" s="20"/>
      <c r="X426" s="116"/>
      <c r="Y426" s="116"/>
      <c r="AA426" s="116"/>
      <c r="AB426" s="116"/>
    </row>
    <row r="427" spans="5:28">
      <c r="E427" s="55"/>
      <c r="F427" s="55"/>
      <c r="G427" s="21"/>
      <c r="H427" s="21"/>
      <c r="I427" s="21"/>
      <c r="J427" s="21"/>
      <c r="K427" s="21"/>
      <c r="S427" s="114"/>
      <c r="T427" s="22"/>
      <c r="U427" s="21"/>
      <c r="V427" s="21"/>
      <c r="W427" s="20"/>
      <c r="X427" s="116"/>
      <c r="Y427" s="116"/>
      <c r="AA427" s="116"/>
      <c r="AB427" s="116"/>
    </row>
    <row r="428" spans="5:28">
      <c r="E428" s="55"/>
      <c r="F428" s="55"/>
      <c r="G428" s="21"/>
      <c r="H428" s="21"/>
      <c r="I428" s="21"/>
      <c r="J428" s="21"/>
      <c r="K428" s="21"/>
      <c r="S428" s="114"/>
      <c r="T428" s="22"/>
      <c r="U428" s="21"/>
      <c r="V428" s="21"/>
      <c r="W428" s="20"/>
      <c r="X428" s="116"/>
      <c r="Y428" s="116"/>
      <c r="AA428" s="116"/>
      <c r="AB428" s="116"/>
    </row>
    <row r="429" spans="5:28">
      <c r="E429" s="55"/>
      <c r="F429" s="55"/>
      <c r="G429" s="21"/>
      <c r="H429" s="21"/>
      <c r="I429" s="21"/>
      <c r="J429" s="21"/>
      <c r="K429" s="21"/>
      <c r="S429" s="114"/>
      <c r="T429" s="22"/>
      <c r="U429" s="21"/>
      <c r="V429" s="21"/>
      <c r="W429" s="20"/>
      <c r="X429" s="116"/>
      <c r="Y429" s="116"/>
      <c r="AA429" s="116"/>
      <c r="AB429" s="116"/>
    </row>
    <row r="430" spans="5:28">
      <c r="E430" s="55"/>
      <c r="F430" s="55"/>
      <c r="G430" s="21"/>
      <c r="H430" s="21"/>
      <c r="I430" s="21"/>
      <c r="J430" s="21"/>
      <c r="K430" s="21"/>
      <c r="S430" s="114"/>
      <c r="T430" s="22"/>
      <c r="U430" s="21"/>
      <c r="V430" s="21"/>
      <c r="W430" s="20"/>
      <c r="X430" s="116"/>
      <c r="Y430" s="116"/>
      <c r="AA430" s="116"/>
      <c r="AB430" s="116"/>
    </row>
    <row r="431" spans="5:28">
      <c r="E431" s="55"/>
      <c r="F431" s="55"/>
      <c r="G431" s="21"/>
      <c r="H431" s="21"/>
      <c r="I431" s="21"/>
      <c r="J431" s="21"/>
      <c r="K431" s="21"/>
      <c r="S431" s="114"/>
      <c r="T431" s="22"/>
      <c r="U431" s="21"/>
      <c r="V431" s="21"/>
      <c r="W431" s="20"/>
      <c r="X431" s="116"/>
      <c r="Y431" s="116"/>
      <c r="AA431" s="116"/>
      <c r="AB431" s="116"/>
    </row>
    <row r="432" spans="5:28">
      <c r="E432" s="55"/>
      <c r="F432" s="55"/>
      <c r="G432" s="21"/>
      <c r="H432" s="21"/>
      <c r="I432" s="21"/>
      <c r="J432" s="21"/>
      <c r="K432" s="21"/>
      <c r="S432" s="114"/>
      <c r="T432" s="22"/>
      <c r="U432" s="21"/>
      <c r="V432" s="21"/>
      <c r="W432" s="20"/>
      <c r="X432" s="116"/>
      <c r="Y432" s="116"/>
      <c r="AA432" s="116"/>
      <c r="AB432" s="116"/>
    </row>
    <row r="433" spans="5:28">
      <c r="E433" s="55"/>
      <c r="F433" s="55"/>
      <c r="G433" s="21"/>
      <c r="H433" s="21"/>
      <c r="I433" s="21"/>
      <c r="J433" s="21"/>
      <c r="K433" s="21"/>
      <c r="S433" s="114"/>
      <c r="T433" s="22"/>
      <c r="U433" s="21"/>
      <c r="V433" s="21"/>
      <c r="W433" s="20"/>
      <c r="X433" s="116"/>
      <c r="Y433" s="116"/>
      <c r="AA433" s="116"/>
      <c r="AB433" s="116"/>
    </row>
    <row r="434" spans="5:28">
      <c r="E434" s="55"/>
      <c r="F434" s="55"/>
      <c r="G434" s="21"/>
      <c r="H434" s="21"/>
      <c r="I434" s="21"/>
      <c r="J434" s="21"/>
      <c r="K434" s="21"/>
      <c r="S434" s="114"/>
      <c r="T434" s="22"/>
      <c r="U434" s="21"/>
      <c r="V434" s="21"/>
      <c r="W434" s="20"/>
      <c r="X434" s="116"/>
      <c r="Y434" s="116"/>
      <c r="AA434" s="116"/>
      <c r="AB434" s="116"/>
    </row>
    <row r="435" spans="5:28">
      <c r="E435" s="55"/>
      <c r="F435" s="55"/>
      <c r="G435" s="21"/>
      <c r="H435" s="21"/>
      <c r="I435" s="21"/>
      <c r="J435" s="21"/>
      <c r="K435" s="21"/>
      <c r="S435" s="114"/>
      <c r="T435" s="22"/>
      <c r="U435" s="21"/>
      <c r="V435" s="21"/>
      <c r="W435" s="20"/>
      <c r="X435" s="116"/>
      <c r="Y435" s="116"/>
      <c r="AA435" s="116"/>
      <c r="AB435" s="116"/>
    </row>
    <row r="436" spans="5:28">
      <c r="E436" s="55"/>
      <c r="F436" s="55"/>
      <c r="G436" s="21"/>
      <c r="H436" s="21"/>
      <c r="I436" s="21"/>
      <c r="J436" s="21"/>
      <c r="K436" s="21"/>
      <c r="S436" s="114"/>
      <c r="T436" s="22"/>
      <c r="U436" s="21"/>
      <c r="V436" s="21"/>
      <c r="W436" s="20"/>
      <c r="X436" s="116"/>
      <c r="Y436" s="116"/>
      <c r="AA436" s="116"/>
      <c r="AB436" s="116"/>
    </row>
    <row r="437" spans="5:28">
      <c r="E437" s="55"/>
      <c r="F437" s="55"/>
      <c r="G437" s="21"/>
      <c r="H437" s="21"/>
      <c r="I437" s="21"/>
      <c r="J437" s="21"/>
      <c r="K437" s="21"/>
      <c r="S437" s="114"/>
      <c r="T437" s="22"/>
      <c r="U437" s="21"/>
      <c r="V437" s="21"/>
      <c r="W437" s="20"/>
      <c r="X437" s="116"/>
      <c r="Y437" s="116"/>
      <c r="AA437" s="116"/>
      <c r="AB437" s="116"/>
    </row>
    <row r="438" spans="5:28">
      <c r="E438" s="55"/>
      <c r="F438" s="55"/>
      <c r="G438" s="21"/>
      <c r="H438" s="21"/>
      <c r="I438" s="21"/>
      <c r="J438" s="21"/>
      <c r="K438" s="21"/>
      <c r="S438" s="114"/>
      <c r="T438" s="22"/>
      <c r="U438" s="21"/>
      <c r="V438" s="21"/>
      <c r="W438" s="20"/>
      <c r="X438" s="116"/>
      <c r="Y438" s="116"/>
      <c r="AA438" s="116"/>
      <c r="AB438" s="116"/>
    </row>
    <row r="439" spans="5:28">
      <c r="E439" s="55"/>
      <c r="F439" s="55"/>
      <c r="G439" s="21"/>
      <c r="H439" s="21"/>
      <c r="I439" s="21"/>
      <c r="J439" s="21"/>
      <c r="K439" s="21"/>
      <c r="S439" s="114"/>
      <c r="T439" s="22"/>
      <c r="U439" s="21"/>
      <c r="V439" s="21"/>
      <c r="W439" s="20"/>
      <c r="X439" s="116"/>
      <c r="Y439" s="116"/>
      <c r="AA439" s="116"/>
      <c r="AB439" s="116"/>
    </row>
    <row r="440" spans="5:28">
      <c r="E440" s="55"/>
      <c r="F440" s="55"/>
      <c r="G440" s="21"/>
      <c r="H440" s="21"/>
      <c r="I440" s="21"/>
      <c r="J440" s="21"/>
      <c r="K440" s="21"/>
      <c r="S440" s="114"/>
      <c r="T440" s="22"/>
      <c r="U440" s="21"/>
      <c r="V440" s="21"/>
      <c r="W440" s="20"/>
      <c r="X440" s="116"/>
      <c r="Y440" s="116"/>
      <c r="AA440" s="116"/>
      <c r="AB440" s="116"/>
    </row>
    <row r="441" spans="5:28">
      <c r="E441" s="55"/>
      <c r="F441" s="55"/>
      <c r="G441" s="21"/>
      <c r="H441" s="21"/>
      <c r="I441" s="21"/>
      <c r="J441" s="21"/>
      <c r="K441" s="21"/>
      <c r="S441" s="114"/>
      <c r="T441" s="22"/>
      <c r="U441" s="21"/>
      <c r="V441" s="21"/>
      <c r="W441" s="20"/>
      <c r="X441" s="116"/>
      <c r="Y441" s="116"/>
      <c r="AA441" s="116"/>
      <c r="AB441" s="116"/>
    </row>
    <row r="442" spans="5:28">
      <c r="E442" s="55"/>
      <c r="F442" s="55"/>
      <c r="G442" s="21"/>
      <c r="H442" s="21"/>
      <c r="I442" s="21"/>
      <c r="J442" s="21"/>
      <c r="K442" s="21"/>
      <c r="S442" s="114"/>
      <c r="T442" s="22"/>
      <c r="U442" s="21"/>
      <c r="V442" s="21"/>
      <c r="W442" s="20"/>
      <c r="X442" s="116"/>
      <c r="Y442" s="116"/>
      <c r="AA442" s="116"/>
      <c r="AB442" s="116"/>
    </row>
    <row r="443" spans="5:28">
      <c r="E443" s="55"/>
      <c r="F443" s="55"/>
      <c r="G443" s="21"/>
      <c r="H443" s="21"/>
      <c r="I443" s="21"/>
      <c r="J443" s="21"/>
      <c r="K443" s="21"/>
      <c r="S443" s="114"/>
      <c r="T443" s="22"/>
      <c r="U443" s="21"/>
      <c r="V443" s="21"/>
      <c r="W443" s="20"/>
      <c r="X443" s="116"/>
      <c r="Y443" s="116"/>
      <c r="AA443" s="116"/>
      <c r="AB443" s="116"/>
    </row>
    <row r="444" spans="5:28">
      <c r="E444" s="55"/>
      <c r="F444" s="55"/>
      <c r="G444" s="21"/>
      <c r="H444" s="21"/>
      <c r="I444" s="21"/>
      <c r="J444" s="21"/>
      <c r="K444" s="21"/>
      <c r="S444" s="114"/>
      <c r="T444" s="22"/>
      <c r="U444" s="21"/>
      <c r="V444" s="21"/>
      <c r="W444" s="20"/>
      <c r="X444" s="116"/>
      <c r="Y444" s="116"/>
      <c r="AA444" s="116"/>
      <c r="AB444" s="116"/>
    </row>
    <row r="445" spans="5:28">
      <c r="E445" s="55"/>
      <c r="F445" s="55"/>
      <c r="G445" s="21"/>
      <c r="H445" s="21"/>
      <c r="I445" s="21"/>
      <c r="J445" s="21"/>
      <c r="K445" s="21"/>
      <c r="S445" s="114"/>
      <c r="T445" s="22"/>
      <c r="U445" s="21"/>
      <c r="V445" s="21"/>
      <c r="W445" s="20"/>
      <c r="X445" s="116"/>
      <c r="Y445" s="116"/>
      <c r="AA445" s="116"/>
      <c r="AB445" s="116"/>
    </row>
    <row r="446" spans="5:28">
      <c r="E446" s="55"/>
      <c r="F446" s="55"/>
      <c r="G446" s="21"/>
      <c r="H446" s="21"/>
      <c r="I446" s="21"/>
      <c r="J446" s="21"/>
      <c r="K446" s="21"/>
      <c r="S446" s="114"/>
      <c r="T446" s="22"/>
      <c r="U446" s="21"/>
      <c r="V446" s="21"/>
      <c r="W446" s="20"/>
      <c r="X446" s="116"/>
      <c r="Y446" s="116"/>
      <c r="AA446" s="116"/>
      <c r="AB446" s="116"/>
    </row>
    <row r="447" spans="5:28">
      <c r="E447" s="55"/>
      <c r="F447" s="55"/>
      <c r="G447" s="21"/>
      <c r="H447" s="21"/>
      <c r="I447" s="21"/>
      <c r="J447" s="21"/>
      <c r="K447" s="21"/>
      <c r="S447" s="114"/>
      <c r="T447" s="22"/>
      <c r="U447" s="21"/>
      <c r="V447" s="21"/>
      <c r="W447" s="20"/>
      <c r="X447" s="116"/>
      <c r="Y447" s="116"/>
      <c r="AA447" s="116"/>
      <c r="AB447" s="116"/>
    </row>
    <row r="448" spans="5:28">
      <c r="E448" s="55"/>
      <c r="F448" s="55"/>
      <c r="G448" s="21"/>
      <c r="H448" s="21"/>
      <c r="I448" s="21"/>
      <c r="J448" s="21"/>
      <c r="K448" s="21"/>
      <c r="S448" s="114"/>
      <c r="T448" s="22"/>
      <c r="U448" s="21"/>
      <c r="V448" s="21"/>
      <c r="W448" s="20"/>
      <c r="X448" s="116"/>
      <c r="Y448" s="116"/>
      <c r="AA448" s="116"/>
      <c r="AB448" s="116"/>
    </row>
    <row r="449" spans="5:28">
      <c r="E449" s="55"/>
      <c r="F449" s="55"/>
      <c r="G449" s="21"/>
      <c r="H449" s="21"/>
      <c r="I449" s="21"/>
      <c r="J449" s="21"/>
      <c r="K449" s="21"/>
      <c r="S449" s="114"/>
      <c r="T449" s="22"/>
      <c r="U449" s="21"/>
      <c r="V449" s="21"/>
      <c r="W449" s="20"/>
      <c r="X449" s="116"/>
      <c r="Y449" s="116"/>
      <c r="AA449" s="116"/>
      <c r="AB449" s="116"/>
    </row>
    <row r="450" spans="5:28">
      <c r="E450" s="55"/>
      <c r="F450" s="55"/>
      <c r="G450" s="21"/>
      <c r="H450" s="21"/>
      <c r="I450" s="21"/>
      <c r="J450" s="21"/>
      <c r="K450" s="21"/>
      <c r="S450" s="114"/>
      <c r="T450" s="22"/>
      <c r="U450" s="21"/>
      <c r="V450" s="21"/>
      <c r="W450" s="20"/>
      <c r="X450" s="116"/>
      <c r="Y450" s="116"/>
      <c r="AA450" s="116"/>
      <c r="AB450" s="116"/>
    </row>
    <row r="451" spans="5:28">
      <c r="E451" s="55"/>
      <c r="F451" s="55"/>
      <c r="G451" s="21"/>
      <c r="H451" s="21"/>
      <c r="I451" s="21"/>
      <c r="J451" s="21"/>
      <c r="K451" s="21"/>
      <c r="S451" s="114"/>
      <c r="T451" s="22"/>
      <c r="U451" s="21"/>
      <c r="V451" s="21"/>
      <c r="W451" s="20"/>
      <c r="X451" s="116"/>
      <c r="Y451" s="116"/>
      <c r="AA451" s="116"/>
      <c r="AB451" s="116"/>
    </row>
    <row r="452" spans="5:28">
      <c r="E452" s="55"/>
      <c r="F452" s="55"/>
      <c r="G452" s="21"/>
      <c r="H452" s="21"/>
      <c r="I452" s="21"/>
      <c r="J452" s="21"/>
      <c r="K452" s="21"/>
      <c r="S452" s="114"/>
      <c r="T452" s="22"/>
      <c r="U452" s="21"/>
      <c r="V452" s="21"/>
      <c r="W452" s="20"/>
      <c r="X452" s="116"/>
      <c r="Y452" s="116"/>
      <c r="AA452" s="116"/>
      <c r="AB452" s="116"/>
    </row>
    <row r="453" spans="5:28">
      <c r="E453" s="55"/>
      <c r="F453" s="55"/>
      <c r="G453" s="21"/>
      <c r="H453" s="21"/>
      <c r="I453" s="21"/>
      <c r="J453" s="21"/>
      <c r="K453" s="21"/>
      <c r="S453" s="114"/>
      <c r="T453" s="22"/>
      <c r="U453" s="21"/>
      <c r="V453" s="21"/>
      <c r="W453" s="20"/>
      <c r="X453" s="116"/>
      <c r="Y453" s="116"/>
      <c r="AA453" s="116"/>
      <c r="AB453" s="116"/>
    </row>
    <row r="454" spans="5:28">
      <c r="E454" s="55"/>
      <c r="F454" s="55"/>
      <c r="G454" s="21"/>
      <c r="H454" s="21"/>
      <c r="I454" s="21"/>
      <c r="J454" s="21"/>
      <c r="K454" s="21"/>
      <c r="S454" s="114"/>
      <c r="T454" s="22"/>
      <c r="U454" s="21"/>
      <c r="V454" s="21"/>
      <c r="W454" s="20"/>
      <c r="X454" s="116"/>
      <c r="Y454" s="116"/>
      <c r="AA454" s="116"/>
      <c r="AB454" s="116"/>
    </row>
    <row r="455" spans="5:28">
      <c r="E455" s="55"/>
      <c r="F455" s="55"/>
      <c r="G455" s="21"/>
      <c r="H455" s="21"/>
      <c r="I455" s="21"/>
      <c r="J455" s="21"/>
      <c r="K455" s="21"/>
      <c r="S455" s="114"/>
      <c r="T455" s="22"/>
      <c r="U455" s="21"/>
      <c r="V455" s="21"/>
      <c r="W455" s="20"/>
      <c r="X455" s="116"/>
      <c r="Y455" s="116"/>
      <c r="AA455" s="116"/>
      <c r="AB455" s="116"/>
    </row>
    <row r="456" spans="5:28">
      <c r="E456" s="55"/>
      <c r="F456" s="55"/>
      <c r="G456" s="21"/>
      <c r="H456" s="21"/>
      <c r="I456" s="21"/>
      <c r="J456" s="21"/>
      <c r="K456" s="21"/>
      <c r="S456" s="114"/>
      <c r="T456" s="22"/>
      <c r="U456" s="21"/>
      <c r="V456" s="21"/>
      <c r="W456" s="20"/>
      <c r="X456" s="116"/>
      <c r="Y456" s="116"/>
      <c r="AA456" s="116"/>
      <c r="AB456" s="116"/>
    </row>
    <row r="457" spans="5:28">
      <c r="E457" s="55"/>
      <c r="F457" s="55"/>
      <c r="G457" s="21"/>
      <c r="H457" s="21"/>
      <c r="I457" s="21"/>
      <c r="J457" s="21"/>
      <c r="K457" s="21"/>
      <c r="S457" s="114"/>
      <c r="T457" s="22"/>
      <c r="U457" s="21"/>
      <c r="V457" s="21"/>
      <c r="W457" s="20"/>
      <c r="X457" s="116"/>
      <c r="Y457" s="116"/>
      <c r="AA457" s="116"/>
      <c r="AB457" s="116"/>
    </row>
    <row r="458" spans="5:28">
      <c r="E458" s="55"/>
      <c r="F458" s="55"/>
      <c r="G458" s="21"/>
      <c r="H458" s="21"/>
      <c r="I458" s="21"/>
      <c r="J458" s="21"/>
      <c r="K458" s="21"/>
      <c r="S458" s="114"/>
      <c r="T458" s="22"/>
      <c r="U458" s="21"/>
      <c r="V458" s="21"/>
      <c r="W458" s="20"/>
      <c r="X458" s="116"/>
      <c r="Y458" s="116"/>
      <c r="AA458" s="116"/>
      <c r="AB458" s="116"/>
    </row>
    <row r="459" spans="5:28">
      <c r="E459" s="55"/>
      <c r="F459" s="55"/>
      <c r="G459" s="21"/>
      <c r="H459" s="21"/>
      <c r="I459" s="21"/>
      <c r="J459" s="21"/>
      <c r="K459" s="21"/>
      <c r="S459" s="114"/>
      <c r="T459" s="22"/>
      <c r="U459" s="21"/>
      <c r="V459" s="21"/>
      <c r="W459" s="20"/>
      <c r="X459" s="116"/>
      <c r="Y459" s="116"/>
      <c r="AA459" s="116"/>
      <c r="AB459" s="116"/>
    </row>
    <row r="460" spans="5:28">
      <c r="E460" s="55"/>
      <c r="F460" s="55"/>
      <c r="G460" s="21"/>
      <c r="H460" s="21"/>
      <c r="I460" s="21"/>
      <c r="J460" s="21"/>
      <c r="K460" s="21"/>
      <c r="S460" s="114"/>
      <c r="T460" s="22"/>
      <c r="U460" s="21"/>
      <c r="V460" s="21"/>
      <c r="W460" s="20"/>
      <c r="X460" s="116"/>
      <c r="Y460" s="116"/>
      <c r="AA460" s="116"/>
      <c r="AB460" s="116"/>
    </row>
    <row r="461" spans="5:28">
      <c r="E461" s="55"/>
      <c r="F461" s="55"/>
      <c r="G461" s="21"/>
      <c r="H461" s="21"/>
      <c r="I461" s="21"/>
      <c r="J461" s="21"/>
      <c r="K461" s="21"/>
      <c r="S461" s="114"/>
      <c r="T461" s="22"/>
      <c r="U461" s="21"/>
      <c r="V461" s="21"/>
      <c r="W461" s="20"/>
      <c r="X461" s="116"/>
      <c r="Y461" s="116"/>
      <c r="AA461" s="116"/>
      <c r="AB461" s="116"/>
    </row>
    <row r="462" spans="5:28">
      <c r="E462" s="55"/>
      <c r="F462" s="55"/>
      <c r="G462" s="21"/>
      <c r="H462" s="21"/>
      <c r="I462" s="21"/>
      <c r="J462" s="21"/>
      <c r="K462" s="21"/>
      <c r="S462" s="114"/>
      <c r="T462" s="22"/>
      <c r="U462" s="21"/>
      <c r="V462" s="21"/>
      <c r="W462" s="20"/>
      <c r="X462" s="116"/>
      <c r="Y462" s="116"/>
      <c r="AA462" s="116"/>
      <c r="AB462" s="116"/>
    </row>
    <row r="463" spans="5:28">
      <c r="E463" s="55"/>
      <c r="F463" s="55"/>
      <c r="G463" s="21"/>
      <c r="H463" s="21"/>
      <c r="I463" s="21"/>
      <c r="J463" s="21"/>
      <c r="K463" s="21"/>
      <c r="S463" s="114"/>
      <c r="T463" s="22"/>
      <c r="U463" s="21"/>
      <c r="V463" s="21"/>
      <c r="W463" s="20"/>
      <c r="X463" s="116"/>
      <c r="Y463" s="116"/>
      <c r="AA463" s="116"/>
      <c r="AB463" s="116"/>
    </row>
    <row r="464" spans="5:28">
      <c r="E464" s="55"/>
      <c r="F464" s="55"/>
      <c r="G464" s="21"/>
      <c r="H464" s="21"/>
      <c r="I464" s="21"/>
      <c r="J464" s="21"/>
      <c r="K464" s="21"/>
      <c r="S464" s="113"/>
      <c r="T464" s="22"/>
      <c r="U464" s="21"/>
      <c r="V464" s="21"/>
      <c r="W464" s="20"/>
      <c r="X464" s="116"/>
      <c r="Y464" s="116"/>
      <c r="AA464" s="116"/>
      <c r="AB464" s="116"/>
    </row>
    <row r="465" spans="5:28">
      <c r="E465" s="55"/>
      <c r="F465" s="55"/>
      <c r="G465" s="21"/>
      <c r="H465" s="21"/>
      <c r="I465" s="21"/>
      <c r="J465" s="21"/>
      <c r="K465" s="21"/>
      <c r="S465" s="114"/>
      <c r="T465" s="22"/>
      <c r="U465" s="21"/>
      <c r="V465" s="21"/>
      <c r="W465" s="20"/>
      <c r="X465" s="116"/>
      <c r="Y465" s="116"/>
      <c r="AA465" s="116"/>
      <c r="AB465" s="116"/>
    </row>
    <row r="466" spans="5:28">
      <c r="E466" s="55"/>
      <c r="F466" s="55"/>
      <c r="G466" s="21"/>
      <c r="H466" s="21"/>
      <c r="I466" s="21"/>
      <c r="J466" s="21"/>
      <c r="K466" s="21"/>
      <c r="S466" s="114"/>
      <c r="T466" s="22"/>
      <c r="U466" s="21"/>
      <c r="V466" s="21"/>
      <c r="W466" s="20"/>
      <c r="X466" s="116"/>
      <c r="Y466" s="116"/>
      <c r="AA466" s="116"/>
      <c r="AB466" s="116"/>
    </row>
    <row r="467" spans="5:28">
      <c r="E467" s="55"/>
      <c r="F467" s="55"/>
      <c r="G467" s="21"/>
      <c r="H467" s="21"/>
      <c r="I467" s="21"/>
      <c r="J467" s="21"/>
      <c r="K467" s="21"/>
      <c r="S467" s="114"/>
      <c r="T467" s="22"/>
      <c r="U467" s="21"/>
      <c r="V467" s="21"/>
      <c r="W467" s="20"/>
      <c r="X467" s="116"/>
      <c r="Y467" s="116"/>
      <c r="AA467" s="116"/>
      <c r="AB467" s="116"/>
    </row>
    <row r="468" spans="5:28">
      <c r="E468" s="55"/>
      <c r="F468" s="55"/>
      <c r="G468" s="21"/>
      <c r="H468" s="21"/>
      <c r="I468" s="21"/>
      <c r="J468" s="21"/>
      <c r="K468" s="21"/>
      <c r="S468" s="114"/>
      <c r="T468" s="22"/>
      <c r="U468" s="21"/>
      <c r="V468" s="21"/>
      <c r="W468" s="20"/>
      <c r="X468" s="116"/>
      <c r="Y468" s="116"/>
      <c r="AA468" s="116"/>
      <c r="AB468" s="116"/>
    </row>
    <row r="469" spans="5:28">
      <c r="E469" s="55"/>
      <c r="F469" s="55"/>
      <c r="G469" s="21"/>
      <c r="H469" s="21"/>
      <c r="I469" s="21"/>
      <c r="J469" s="21"/>
      <c r="K469" s="21"/>
      <c r="S469" s="114"/>
      <c r="T469" s="22"/>
      <c r="U469" s="21"/>
      <c r="V469" s="21"/>
      <c r="W469" s="20"/>
      <c r="X469" s="116"/>
      <c r="Y469" s="116"/>
      <c r="AA469" s="116"/>
      <c r="AB469" s="116"/>
    </row>
    <row r="470" spans="5:28">
      <c r="E470" s="55"/>
      <c r="F470" s="55"/>
      <c r="G470" s="21"/>
      <c r="H470" s="21"/>
      <c r="I470" s="21"/>
      <c r="J470" s="21"/>
      <c r="K470" s="21"/>
      <c r="S470" s="114"/>
      <c r="T470" s="22"/>
      <c r="U470" s="21"/>
      <c r="V470" s="21"/>
      <c r="W470" s="20"/>
      <c r="X470" s="116"/>
      <c r="Y470" s="116"/>
      <c r="AA470" s="116"/>
      <c r="AB470" s="116"/>
    </row>
    <row r="471" spans="5:28">
      <c r="E471" s="55"/>
      <c r="F471" s="55"/>
      <c r="G471" s="21"/>
      <c r="H471" s="21"/>
      <c r="I471" s="21"/>
      <c r="J471" s="21"/>
      <c r="K471" s="21"/>
      <c r="S471" s="114"/>
      <c r="T471" s="22"/>
      <c r="U471" s="21"/>
      <c r="V471" s="21"/>
      <c r="W471" s="20"/>
      <c r="X471" s="116"/>
      <c r="Y471" s="116"/>
      <c r="AA471" s="116"/>
      <c r="AB471" s="116"/>
    </row>
    <row r="472" spans="5:28">
      <c r="E472" s="55"/>
      <c r="F472" s="55"/>
      <c r="G472" s="21"/>
      <c r="H472" s="21"/>
      <c r="I472" s="21"/>
      <c r="J472" s="21"/>
      <c r="K472" s="21"/>
      <c r="S472" s="114"/>
      <c r="T472" s="22"/>
      <c r="U472" s="21"/>
      <c r="V472" s="21"/>
      <c r="W472" s="20"/>
      <c r="X472" s="116"/>
      <c r="Y472" s="116"/>
      <c r="AA472" s="116"/>
      <c r="AB472" s="116"/>
    </row>
    <row r="473" spans="5:28">
      <c r="E473" s="55"/>
      <c r="F473" s="55"/>
      <c r="G473" s="21"/>
      <c r="H473" s="21"/>
      <c r="I473" s="21"/>
      <c r="J473" s="21"/>
      <c r="K473" s="21"/>
      <c r="S473" s="114"/>
      <c r="T473" s="22"/>
      <c r="U473" s="21"/>
      <c r="V473" s="21"/>
      <c r="W473" s="20"/>
      <c r="X473" s="116"/>
      <c r="Y473" s="116"/>
      <c r="AA473" s="116"/>
      <c r="AB473" s="116"/>
    </row>
    <row r="474" spans="5:28">
      <c r="E474" s="55"/>
      <c r="F474" s="55"/>
      <c r="G474" s="21"/>
      <c r="H474" s="21"/>
      <c r="I474" s="21"/>
      <c r="J474" s="21"/>
      <c r="K474" s="21"/>
      <c r="S474" s="114"/>
      <c r="T474" s="22"/>
      <c r="U474" s="21"/>
      <c r="V474" s="21"/>
      <c r="W474" s="20"/>
      <c r="X474" s="116"/>
      <c r="Y474" s="116"/>
      <c r="AA474" s="116"/>
      <c r="AB474" s="116"/>
    </row>
    <row r="475" spans="5:28">
      <c r="E475" s="55"/>
      <c r="F475" s="55"/>
      <c r="G475" s="21"/>
      <c r="H475" s="21"/>
      <c r="I475" s="21"/>
      <c r="J475" s="21"/>
      <c r="K475" s="21"/>
      <c r="S475" s="114"/>
      <c r="T475" s="22"/>
      <c r="U475" s="21"/>
      <c r="V475" s="21"/>
      <c r="W475" s="20"/>
      <c r="X475" s="116"/>
      <c r="Y475" s="116"/>
      <c r="AA475" s="116"/>
      <c r="AB475" s="116"/>
    </row>
    <row r="476" spans="5:28">
      <c r="E476" s="55"/>
      <c r="F476" s="55"/>
      <c r="G476" s="21"/>
      <c r="H476" s="21"/>
      <c r="I476" s="21"/>
      <c r="J476" s="21"/>
      <c r="K476" s="21"/>
      <c r="S476" s="114"/>
      <c r="T476" s="22"/>
      <c r="U476" s="21"/>
      <c r="V476" s="21"/>
      <c r="W476" s="20"/>
      <c r="X476" s="116"/>
      <c r="Y476" s="116"/>
      <c r="AA476" s="116"/>
      <c r="AB476" s="116"/>
    </row>
    <row r="477" spans="5:28">
      <c r="E477" s="55"/>
      <c r="F477" s="55"/>
      <c r="G477" s="21"/>
      <c r="H477" s="21"/>
      <c r="I477" s="21"/>
      <c r="J477" s="21"/>
      <c r="K477" s="21"/>
      <c r="S477" s="114"/>
      <c r="T477" s="22"/>
      <c r="U477" s="21"/>
      <c r="V477" s="21"/>
      <c r="W477" s="20"/>
      <c r="X477" s="116"/>
      <c r="Y477" s="116"/>
      <c r="AA477" s="116"/>
      <c r="AB477" s="116"/>
    </row>
    <row r="478" spans="5:28">
      <c r="E478" s="55"/>
      <c r="F478" s="55"/>
      <c r="G478" s="21"/>
      <c r="H478" s="21"/>
      <c r="I478" s="21"/>
      <c r="J478" s="21"/>
      <c r="K478" s="21"/>
      <c r="S478" s="114"/>
      <c r="T478" s="22"/>
      <c r="U478" s="21"/>
      <c r="V478" s="21"/>
      <c r="W478" s="20"/>
      <c r="X478" s="116"/>
      <c r="Y478" s="116"/>
      <c r="AA478" s="116"/>
      <c r="AB478" s="116"/>
    </row>
    <row r="479" spans="5:28">
      <c r="E479" s="55"/>
      <c r="F479" s="55"/>
      <c r="G479" s="21"/>
      <c r="H479" s="21"/>
      <c r="I479" s="21"/>
      <c r="J479" s="21"/>
      <c r="K479" s="21"/>
      <c r="S479" s="114"/>
      <c r="T479" s="22"/>
      <c r="U479" s="21"/>
      <c r="V479" s="21"/>
      <c r="W479" s="20"/>
      <c r="X479" s="116"/>
      <c r="Y479" s="116"/>
      <c r="AA479" s="116"/>
      <c r="AB479" s="116"/>
    </row>
    <row r="480" spans="5:28">
      <c r="E480" s="55"/>
      <c r="F480" s="55"/>
      <c r="G480" s="21"/>
      <c r="H480" s="21"/>
      <c r="I480" s="21"/>
      <c r="J480" s="21"/>
      <c r="K480" s="21"/>
      <c r="S480" s="114"/>
      <c r="T480" s="22"/>
      <c r="U480" s="21"/>
      <c r="V480" s="21"/>
      <c r="W480" s="20"/>
      <c r="X480" s="116"/>
      <c r="Y480" s="116"/>
      <c r="AA480" s="116"/>
      <c r="AB480" s="116"/>
    </row>
    <row r="481" spans="5:28">
      <c r="E481" s="55"/>
      <c r="F481" s="55"/>
      <c r="G481" s="21"/>
      <c r="H481" s="21"/>
      <c r="I481" s="21"/>
      <c r="J481" s="21"/>
      <c r="K481" s="21"/>
      <c r="S481" s="114"/>
      <c r="T481" s="22"/>
      <c r="U481" s="21"/>
      <c r="V481" s="21"/>
      <c r="W481" s="20"/>
      <c r="X481" s="116"/>
      <c r="Y481" s="116"/>
      <c r="AA481" s="116"/>
      <c r="AB481" s="116"/>
    </row>
    <row r="482" spans="5:28">
      <c r="E482" s="55"/>
      <c r="F482" s="55"/>
      <c r="G482" s="21"/>
      <c r="H482" s="21"/>
      <c r="I482" s="21"/>
      <c r="J482" s="21"/>
      <c r="K482" s="21"/>
      <c r="S482" s="114"/>
      <c r="T482" s="22"/>
      <c r="U482" s="21"/>
      <c r="V482" s="21"/>
      <c r="W482" s="20"/>
      <c r="X482" s="116"/>
      <c r="Y482" s="116"/>
      <c r="AA482" s="116"/>
      <c r="AB482" s="116"/>
    </row>
    <row r="483" spans="5:28">
      <c r="E483" s="55"/>
      <c r="F483" s="55"/>
      <c r="G483" s="21"/>
      <c r="H483" s="21"/>
      <c r="I483" s="21"/>
      <c r="J483" s="21"/>
      <c r="K483" s="21"/>
      <c r="S483" s="114"/>
      <c r="T483" s="22"/>
      <c r="U483" s="21"/>
      <c r="V483" s="21"/>
      <c r="W483" s="20"/>
      <c r="X483" s="116"/>
      <c r="Y483" s="116"/>
      <c r="AA483" s="116"/>
      <c r="AB483" s="116"/>
    </row>
    <row r="484" spans="5:28">
      <c r="E484" s="55"/>
      <c r="F484" s="55"/>
      <c r="G484" s="21"/>
      <c r="H484" s="21"/>
      <c r="I484" s="21"/>
      <c r="J484" s="21"/>
      <c r="K484" s="21"/>
      <c r="S484" s="114"/>
      <c r="T484" s="22"/>
      <c r="U484" s="21"/>
      <c r="V484" s="21"/>
      <c r="W484" s="20"/>
      <c r="X484" s="116"/>
      <c r="Y484" s="116"/>
      <c r="AA484" s="116"/>
      <c r="AB484" s="116"/>
    </row>
    <row r="485" spans="5:28">
      <c r="E485" s="55"/>
      <c r="F485" s="55"/>
      <c r="G485" s="21"/>
      <c r="H485" s="21"/>
      <c r="I485" s="21"/>
      <c r="J485" s="21"/>
      <c r="K485" s="21"/>
      <c r="S485" s="114"/>
      <c r="T485" s="22"/>
      <c r="U485" s="21"/>
      <c r="V485" s="21"/>
      <c r="W485" s="20"/>
      <c r="X485" s="116"/>
      <c r="Y485" s="116"/>
      <c r="AA485" s="116"/>
      <c r="AB485" s="116"/>
    </row>
    <row r="486" spans="5:28">
      <c r="E486" s="55"/>
      <c r="F486" s="55"/>
      <c r="G486" s="21"/>
      <c r="H486" s="21"/>
      <c r="I486" s="21"/>
      <c r="J486" s="21"/>
      <c r="K486" s="21"/>
      <c r="S486" s="114"/>
      <c r="T486" s="22"/>
      <c r="U486" s="21"/>
      <c r="V486" s="21"/>
      <c r="W486" s="20"/>
      <c r="X486" s="116"/>
      <c r="Y486" s="116"/>
      <c r="AA486" s="116"/>
      <c r="AB486" s="116"/>
    </row>
    <row r="487" spans="5:28">
      <c r="E487" s="55"/>
      <c r="F487" s="55"/>
      <c r="G487" s="21"/>
      <c r="H487" s="21"/>
      <c r="I487" s="21"/>
      <c r="J487" s="21"/>
      <c r="K487" s="21"/>
      <c r="S487" s="114"/>
      <c r="T487" s="22"/>
      <c r="U487" s="21"/>
      <c r="V487" s="21"/>
      <c r="W487" s="20"/>
      <c r="X487" s="116"/>
      <c r="Y487" s="116"/>
      <c r="AA487" s="116"/>
      <c r="AB487" s="116"/>
    </row>
    <row r="488" spans="5:28">
      <c r="E488" s="55"/>
      <c r="F488" s="55"/>
      <c r="G488" s="21"/>
      <c r="H488" s="21"/>
      <c r="I488" s="21"/>
      <c r="J488" s="21"/>
      <c r="K488" s="21"/>
      <c r="S488" s="114"/>
      <c r="T488" s="22"/>
      <c r="U488" s="21"/>
      <c r="V488" s="21"/>
      <c r="W488" s="20"/>
      <c r="X488" s="116"/>
      <c r="Y488" s="116"/>
      <c r="AA488" s="116"/>
      <c r="AB488" s="116"/>
    </row>
    <row r="489" spans="5:28">
      <c r="E489" s="55"/>
      <c r="F489" s="55"/>
      <c r="G489" s="21"/>
      <c r="H489" s="21"/>
      <c r="I489" s="21"/>
      <c r="J489" s="21"/>
      <c r="K489" s="21"/>
      <c r="S489" s="114"/>
      <c r="T489" s="22"/>
      <c r="U489" s="21"/>
      <c r="V489" s="21"/>
      <c r="W489" s="20"/>
      <c r="X489" s="116"/>
      <c r="Y489" s="116"/>
      <c r="AA489" s="116"/>
      <c r="AB489" s="116"/>
    </row>
    <row r="490" spans="5:28">
      <c r="E490" s="55"/>
      <c r="F490" s="55"/>
      <c r="G490" s="21"/>
      <c r="H490" s="21"/>
      <c r="I490" s="21"/>
      <c r="J490" s="21"/>
      <c r="K490" s="21"/>
      <c r="S490" s="114"/>
      <c r="T490" s="22"/>
      <c r="U490" s="21"/>
      <c r="V490" s="21"/>
      <c r="W490" s="20"/>
      <c r="X490" s="116"/>
      <c r="Y490" s="116"/>
      <c r="AA490" s="116"/>
      <c r="AB490" s="116"/>
    </row>
    <row r="491" spans="5:28">
      <c r="E491" s="55"/>
      <c r="F491" s="55"/>
      <c r="G491" s="21"/>
      <c r="H491" s="21"/>
      <c r="I491" s="21"/>
      <c r="J491" s="21"/>
      <c r="K491" s="21"/>
      <c r="S491" s="114"/>
      <c r="T491" s="22"/>
      <c r="U491" s="21"/>
      <c r="V491" s="21"/>
      <c r="W491" s="20"/>
      <c r="X491" s="116"/>
      <c r="Y491" s="116"/>
      <c r="AA491" s="116"/>
      <c r="AB491" s="116"/>
    </row>
    <row r="492" spans="5:28">
      <c r="E492" s="55"/>
      <c r="F492" s="55"/>
      <c r="G492" s="21"/>
      <c r="H492" s="21"/>
      <c r="I492" s="21"/>
      <c r="J492" s="21"/>
      <c r="K492" s="21"/>
      <c r="S492" s="114"/>
      <c r="T492" s="22"/>
      <c r="U492" s="21"/>
      <c r="V492" s="21"/>
      <c r="W492" s="20"/>
      <c r="X492" s="116"/>
      <c r="Y492" s="116"/>
      <c r="AA492" s="116"/>
      <c r="AB492" s="116"/>
    </row>
    <row r="493" spans="5:28">
      <c r="E493" s="55"/>
      <c r="F493" s="55"/>
      <c r="G493" s="21"/>
      <c r="H493" s="21"/>
      <c r="I493" s="21"/>
      <c r="J493" s="21"/>
      <c r="K493" s="21"/>
      <c r="S493" s="114"/>
      <c r="T493" s="22"/>
      <c r="U493" s="21"/>
      <c r="V493" s="21"/>
      <c r="W493" s="20"/>
      <c r="X493" s="116"/>
      <c r="Y493" s="116"/>
      <c r="AA493" s="116"/>
      <c r="AB493" s="116"/>
    </row>
    <row r="494" spans="5:28">
      <c r="E494" s="55"/>
      <c r="F494" s="55"/>
      <c r="G494" s="21"/>
      <c r="H494" s="21"/>
      <c r="I494" s="21"/>
      <c r="J494" s="21"/>
      <c r="K494" s="21"/>
      <c r="S494" s="114"/>
      <c r="T494" s="22"/>
      <c r="U494" s="21"/>
      <c r="V494" s="21"/>
      <c r="W494" s="20"/>
      <c r="X494" s="116"/>
      <c r="Y494" s="116"/>
      <c r="AA494" s="116"/>
      <c r="AB494" s="116"/>
    </row>
    <row r="495" spans="5:28">
      <c r="E495" s="55"/>
      <c r="F495" s="55"/>
      <c r="G495" s="21"/>
      <c r="H495" s="21"/>
      <c r="I495" s="21"/>
      <c r="J495" s="21"/>
      <c r="K495" s="21"/>
      <c r="S495" s="114"/>
      <c r="T495" s="22"/>
      <c r="U495" s="21"/>
      <c r="V495" s="21"/>
      <c r="W495" s="20"/>
      <c r="X495" s="116"/>
      <c r="Y495" s="116"/>
      <c r="AA495" s="116"/>
      <c r="AB495" s="116"/>
    </row>
    <row r="496" spans="5:28">
      <c r="E496" s="55"/>
      <c r="F496" s="55"/>
      <c r="G496" s="21"/>
      <c r="H496" s="21"/>
      <c r="I496" s="21"/>
      <c r="J496" s="21"/>
      <c r="K496" s="21"/>
      <c r="S496" s="114"/>
      <c r="T496" s="22"/>
      <c r="U496" s="21"/>
      <c r="V496" s="21"/>
      <c r="W496" s="20"/>
      <c r="X496" s="116"/>
      <c r="Y496" s="116"/>
      <c r="AA496" s="116"/>
      <c r="AB496" s="116"/>
    </row>
    <row r="497" spans="5:28">
      <c r="E497" s="55"/>
      <c r="F497" s="55"/>
      <c r="G497" s="21"/>
      <c r="H497" s="21"/>
      <c r="I497" s="21"/>
      <c r="J497" s="21"/>
      <c r="K497" s="21"/>
      <c r="S497" s="114"/>
      <c r="T497" s="22"/>
      <c r="U497" s="21"/>
      <c r="V497" s="21"/>
      <c r="W497" s="20"/>
      <c r="X497" s="116"/>
      <c r="Y497" s="116"/>
      <c r="AA497" s="116"/>
      <c r="AB497" s="116"/>
    </row>
    <row r="498" spans="5:28">
      <c r="E498" s="55"/>
      <c r="F498" s="55"/>
      <c r="G498" s="21"/>
      <c r="H498" s="21"/>
      <c r="I498" s="21"/>
      <c r="J498" s="21"/>
      <c r="K498" s="21"/>
      <c r="S498" s="114"/>
      <c r="T498" s="22"/>
      <c r="U498" s="21"/>
      <c r="V498" s="21"/>
      <c r="W498" s="20"/>
      <c r="X498" s="116"/>
      <c r="Y498" s="116"/>
      <c r="AA498" s="116"/>
      <c r="AB498" s="116"/>
    </row>
    <row r="499" spans="5:28">
      <c r="E499" s="55"/>
      <c r="F499" s="55"/>
      <c r="G499" s="21"/>
      <c r="H499" s="21"/>
      <c r="I499" s="21"/>
      <c r="J499" s="21"/>
      <c r="K499" s="21"/>
      <c r="S499" s="114"/>
      <c r="T499" s="22"/>
      <c r="U499" s="21"/>
      <c r="V499" s="21"/>
      <c r="W499" s="20"/>
      <c r="X499" s="116"/>
      <c r="Y499" s="116"/>
      <c r="AA499" s="116"/>
      <c r="AB499" s="116"/>
    </row>
    <row r="500" spans="5:28">
      <c r="E500" s="55"/>
      <c r="F500" s="55"/>
      <c r="G500" s="21"/>
      <c r="H500" s="21"/>
      <c r="I500" s="21"/>
      <c r="J500" s="21"/>
      <c r="K500" s="21"/>
      <c r="S500" s="114"/>
      <c r="T500" s="22"/>
      <c r="U500" s="21"/>
      <c r="V500" s="21"/>
      <c r="W500" s="20"/>
      <c r="X500" s="116"/>
      <c r="Y500" s="116"/>
      <c r="AA500" s="116"/>
      <c r="AB500" s="116"/>
    </row>
    <row r="501" spans="5:28">
      <c r="E501" s="55"/>
      <c r="F501" s="55"/>
      <c r="G501" s="21"/>
      <c r="H501" s="21"/>
      <c r="I501" s="21"/>
      <c r="J501" s="21"/>
      <c r="K501" s="21"/>
      <c r="S501" s="114"/>
      <c r="T501" s="22"/>
      <c r="U501" s="21"/>
      <c r="V501" s="21"/>
      <c r="W501" s="20"/>
      <c r="X501" s="116"/>
      <c r="Y501" s="116"/>
      <c r="AA501" s="116"/>
      <c r="AB501" s="116"/>
    </row>
    <row r="502" spans="5:28">
      <c r="E502" s="55"/>
      <c r="F502" s="55"/>
      <c r="G502" s="21"/>
      <c r="H502" s="21"/>
      <c r="I502" s="21"/>
      <c r="J502" s="21"/>
      <c r="K502" s="21"/>
      <c r="S502" s="114"/>
      <c r="T502" s="22"/>
      <c r="U502" s="21"/>
      <c r="V502" s="21"/>
      <c r="W502" s="20"/>
      <c r="X502" s="116"/>
      <c r="Y502" s="116"/>
      <c r="AA502" s="116"/>
      <c r="AB502" s="116"/>
    </row>
    <row r="503" spans="5:28">
      <c r="E503" s="55"/>
      <c r="F503" s="55"/>
      <c r="G503" s="21"/>
      <c r="H503" s="21"/>
      <c r="I503" s="21"/>
      <c r="J503" s="21"/>
      <c r="K503" s="21"/>
      <c r="S503" s="114"/>
      <c r="T503" s="22"/>
      <c r="U503" s="21"/>
      <c r="V503" s="21"/>
      <c r="W503" s="20"/>
      <c r="X503" s="116"/>
      <c r="Y503" s="116"/>
      <c r="AA503" s="116"/>
      <c r="AB503" s="116"/>
    </row>
    <row r="504" spans="5:28">
      <c r="E504" s="55"/>
      <c r="F504" s="55"/>
      <c r="G504" s="21"/>
      <c r="H504" s="21"/>
      <c r="I504" s="21"/>
      <c r="J504" s="21"/>
      <c r="K504" s="21"/>
      <c r="S504" s="114"/>
      <c r="T504" s="22"/>
      <c r="U504" s="21"/>
      <c r="V504" s="21"/>
      <c r="W504" s="20"/>
      <c r="X504" s="116"/>
      <c r="Y504" s="116"/>
      <c r="AA504" s="116"/>
      <c r="AB504" s="116"/>
    </row>
    <row r="505" spans="5:28">
      <c r="E505" s="55"/>
      <c r="F505" s="55"/>
      <c r="G505" s="21"/>
      <c r="H505" s="21"/>
      <c r="I505" s="21"/>
      <c r="J505" s="21"/>
      <c r="K505" s="21"/>
      <c r="S505" s="114"/>
      <c r="T505" s="22"/>
      <c r="U505" s="21"/>
      <c r="V505" s="21"/>
      <c r="W505" s="20"/>
      <c r="X505" s="116"/>
      <c r="Y505" s="116"/>
      <c r="AA505" s="116"/>
      <c r="AB505" s="116"/>
    </row>
    <row r="506" spans="5:28">
      <c r="E506" s="55"/>
      <c r="F506" s="55"/>
      <c r="G506" s="21"/>
      <c r="H506" s="21"/>
      <c r="I506" s="21"/>
      <c r="J506" s="21"/>
      <c r="K506" s="21"/>
      <c r="S506" s="114"/>
      <c r="T506" s="22"/>
      <c r="U506" s="21"/>
      <c r="V506" s="21"/>
      <c r="W506" s="20"/>
      <c r="X506" s="116"/>
      <c r="Y506" s="116"/>
      <c r="AA506" s="116"/>
      <c r="AB506" s="116"/>
    </row>
    <row r="507" spans="5:28">
      <c r="E507" s="55"/>
      <c r="F507" s="55"/>
      <c r="G507" s="21"/>
      <c r="H507" s="21"/>
      <c r="I507" s="21"/>
      <c r="J507" s="21"/>
      <c r="K507" s="21"/>
      <c r="S507" s="114"/>
      <c r="T507" s="22"/>
      <c r="U507" s="21"/>
      <c r="V507" s="21"/>
      <c r="W507" s="20"/>
      <c r="X507" s="116"/>
      <c r="Y507" s="116"/>
      <c r="AA507" s="116"/>
      <c r="AB507" s="116"/>
    </row>
    <row r="508" spans="5:28">
      <c r="E508" s="55"/>
      <c r="F508" s="55"/>
      <c r="G508" s="21"/>
      <c r="H508" s="21"/>
      <c r="I508" s="21"/>
      <c r="J508" s="21"/>
      <c r="K508" s="21"/>
      <c r="S508" s="114"/>
      <c r="T508" s="22"/>
      <c r="U508" s="21"/>
      <c r="V508" s="21"/>
      <c r="W508" s="20"/>
      <c r="X508" s="116"/>
      <c r="Y508" s="116"/>
      <c r="AA508" s="116"/>
      <c r="AB508" s="116"/>
    </row>
    <row r="509" spans="5:28">
      <c r="E509" s="55"/>
      <c r="F509" s="55"/>
      <c r="G509" s="21"/>
      <c r="H509" s="21"/>
      <c r="I509" s="21"/>
      <c r="J509" s="21"/>
      <c r="K509" s="21"/>
      <c r="S509" s="114"/>
      <c r="T509" s="22"/>
      <c r="U509" s="21"/>
      <c r="V509" s="21"/>
      <c r="W509" s="20"/>
      <c r="X509" s="116"/>
      <c r="Y509" s="116"/>
      <c r="AA509" s="116"/>
      <c r="AB509" s="116"/>
    </row>
    <row r="510" spans="5:28">
      <c r="E510" s="55"/>
      <c r="F510" s="55"/>
      <c r="G510" s="21"/>
      <c r="H510" s="21"/>
      <c r="I510" s="21"/>
      <c r="J510" s="21"/>
      <c r="K510" s="21"/>
      <c r="S510" s="114"/>
      <c r="T510" s="22"/>
      <c r="U510" s="21"/>
      <c r="V510" s="21"/>
      <c r="W510" s="20"/>
      <c r="X510" s="116"/>
      <c r="Y510" s="116"/>
      <c r="AA510" s="116"/>
      <c r="AB510" s="116"/>
    </row>
    <row r="511" spans="5:28">
      <c r="E511" s="55"/>
      <c r="F511" s="55"/>
      <c r="G511" s="21"/>
      <c r="H511" s="21"/>
      <c r="I511" s="21"/>
      <c r="J511" s="21"/>
      <c r="K511" s="21"/>
      <c r="S511" s="114"/>
      <c r="T511" s="22"/>
      <c r="U511" s="21"/>
      <c r="V511" s="21"/>
      <c r="W511" s="20"/>
      <c r="X511" s="116"/>
      <c r="Y511" s="116"/>
      <c r="AA511" s="116"/>
      <c r="AB511" s="116"/>
    </row>
    <row r="512" spans="5:28">
      <c r="E512" s="55"/>
      <c r="F512" s="55"/>
      <c r="G512" s="21"/>
      <c r="H512" s="21"/>
      <c r="I512" s="21"/>
      <c r="J512" s="21"/>
      <c r="K512" s="21"/>
      <c r="S512" s="114"/>
      <c r="T512" s="22"/>
      <c r="U512" s="21"/>
      <c r="V512" s="21"/>
      <c r="W512" s="20"/>
      <c r="X512" s="116"/>
      <c r="Y512" s="116"/>
      <c r="AA512" s="116"/>
      <c r="AB512" s="116"/>
    </row>
    <row r="513" spans="5:28">
      <c r="E513" s="55"/>
      <c r="F513" s="55"/>
      <c r="G513" s="21"/>
      <c r="H513" s="21"/>
      <c r="I513" s="21"/>
      <c r="J513" s="21"/>
      <c r="K513" s="21"/>
      <c r="S513" s="114"/>
      <c r="T513" s="22"/>
      <c r="U513" s="21"/>
      <c r="V513" s="21"/>
      <c r="W513" s="20"/>
      <c r="X513" s="116"/>
      <c r="Y513" s="116"/>
      <c r="AA513" s="116"/>
      <c r="AB513" s="116"/>
    </row>
    <row r="514" spans="5:28">
      <c r="E514" s="55"/>
      <c r="F514" s="55"/>
      <c r="G514" s="21"/>
      <c r="H514" s="21"/>
      <c r="I514" s="21"/>
      <c r="J514" s="21"/>
      <c r="K514" s="21"/>
      <c r="S514" s="114"/>
      <c r="T514" s="22"/>
      <c r="U514" s="21"/>
      <c r="V514" s="21"/>
      <c r="W514" s="20"/>
      <c r="X514" s="116"/>
      <c r="Y514" s="116"/>
      <c r="AA514" s="116"/>
      <c r="AB514" s="116"/>
    </row>
    <row r="515" spans="5:28">
      <c r="E515" s="55"/>
      <c r="F515" s="55"/>
      <c r="G515" s="21"/>
      <c r="H515" s="21"/>
      <c r="I515" s="21"/>
      <c r="J515" s="21"/>
      <c r="K515" s="21"/>
      <c r="S515" s="114"/>
      <c r="T515" s="22"/>
      <c r="U515" s="21"/>
      <c r="V515" s="21"/>
      <c r="W515" s="20"/>
      <c r="X515" s="116"/>
      <c r="Y515" s="116"/>
      <c r="AA515" s="116"/>
      <c r="AB515" s="116"/>
    </row>
    <row r="516" spans="5:28">
      <c r="E516" s="55"/>
      <c r="F516" s="55"/>
      <c r="G516" s="21"/>
      <c r="H516" s="21"/>
      <c r="I516" s="21"/>
      <c r="J516" s="21"/>
      <c r="K516" s="21"/>
      <c r="S516" s="114"/>
      <c r="T516" s="22"/>
      <c r="U516" s="21"/>
      <c r="V516" s="21"/>
      <c r="W516" s="20"/>
      <c r="X516" s="116"/>
      <c r="Y516" s="116"/>
      <c r="AA516" s="116"/>
      <c r="AB516" s="116"/>
    </row>
    <row r="517" spans="5:28">
      <c r="E517" s="55"/>
      <c r="F517" s="55"/>
      <c r="G517" s="21"/>
      <c r="H517" s="21"/>
      <c r="I517" s="21"/>
      <c r="J517" s="21"/>
      <c r="K517" s="21"/>
      <c r="S517" s="114"/>
      <c r="T517" s="22"/>
      <c r="U517" s="21"/>
      <c r="V517" s="21"/>
      <c r="W517" s="20"/>
      <c r="X517" s="116"/>
      <c r="Y517" s="116"/>
      <c r="AA517" s="116"/>
      <c r="AB517" s="116"/>
    </row>
    <row r="518" spans="5:28">
      <c r="E518" s="55"/>
      <c r="F518" s="55"/>
      <c r="G518" s="21"/>
      <c r="H518" s="21"/>
      <c r="I518" s="21"/>
      <c r="J518" s="21"/>
      <c r="K518" s="21"/>
      <c r="S518" s="114"/>
      <c r="T518" s="22"/>
      <c r="U518" s="21"/>
      <c r="V518" s="21"/>
      <c r="W518" s="20"/>
      <c r="X518" s="116"/>
      <c r="Y518" s="116"/>
      <c r="AA518" s="116"/>
      <c r="AB518" s="116"/>
    </row>
    <row r="519" spans="5:28">
      <c r="E519" s="55"/>
      <c r="F519" s="55"/>
      <c r="G519" s="21"/>
      <c r="H519" s="21"/>
      <c r="I519" s="21"/>
      <c r="J519" s="21"/>
      <c r="K519" s="21"/>
      <c r="S519" s="114"/>
      <c r="T519" s="22"/>
      <c r="U519" s="21"/>
      <c r="V519" s="21"/>
      <c r="W519" s="20"/>
      <c r="X519" s="116"/>
      <c r="Y519" s="116"/>
      <c r="AA519" s="116"/>
      <c r="AB519" s="116"/>
    </row>
    <row r="520" spans="5:28">
      <c r="E520" s="55"/>
      <c r="F520" s="55"/>
      <c r="G520" s="21"/>
      <c r="H520" s="21"/>
      <c r="I520" s="21"/>
      <c r="J520" s="21"/>
      <c r="K520" s="21"/>
      <c r="S520" s="114"/>
      <c r="T520" s="22"/>
      <c r="U520" s="21"/>
      <c r="V520" s="21"/>
      <c r="W520" s="20"/>
      <c r="X520" s="116"/>
      <c r="Y520" s="116"/>
      <c r="AA520" s="116"/>
      <c r="AB520" s="116"/>
    </row>
    <row r="521" spans="5:28">
      <c r="E521" s="55"/>
      <c r="F521" s="55"/>
      <c r="G521" s="21"/>
      <c r="H521" s="21"/>
      <c r="I521" s="21"/>
      <c r="J521" s="21"/>
      <c r="K521" s="21"/>
      <c r="S521" s="114"/>
      <c r="T521" s="22"/>
      <c r="U521" s="21"/>
      <c r="V521" s="21"/>
      <c r="W521" s="20"/>
      <c r="X521" s="116"/>
      <c r="Y521" s="116"/>
      <c r="AA521" s="116"/>
      <c r="AB521" s="116"/>
    </row>
    <row r="522" spans="5:28">
      <c r="E522" s="55"/>
      <c r="F522" s="55"/>
      <c r="G522" s="21"/>
      <c r="H522" s="21"/>
      <c r="I522" s="21"/>
      <c r="J522" s="21"/>
      <c r="K522" s="21"/>
      <c r="S522" s="114"/>
      <c r="T522" s="22"/>
      <c r="U522" s="21"/>
      <c r="V522" s="21"/>
      <c r="W522" s="20"/>
      <c r="X522" s="116"/>
      <c r="Y522" s="116"/>
      <c r="AA522" s="116"/>
      <c r="AB522" s="116"/>
    </row>
    <row r="523" spans="5:28">
      <c r="E523" s="55"/>
      <c r="F523" s="55"/>
      <c r="G523" s="21"/>
      <c r="H523" s="21"/>
      <c r="I523" s="21"/>
      <c r="J523" s="21"/>
      <c r="K523" s="21"/>
      <c r="S523" s="114"/>
      <c r="T523" s="22"/>
      <c r="U523" s="21"/>
      <c r="V523" s="21"/>
      <c r="W523" s="20"/>
      <c r="X523" s="116"/>
      <c r="Y523" s="116"/>
      <c r="AA523" s="116"/>
      <c r="AB523" s="116"/>
    </row>
    <row r="524" spans="5:28">
      <c r="E524" s="55"/>
      <c r="F524" s="55"/>
      <c r="G524" s="21"/>
      <c r="H524" s="21"/>
      <c r="I524" s="21"/>
      <c r="J524" s="21"/>
      <c r="K524" s="21"/>
      <c r="S524" s="114"/>
      <c r="T524" s="22"/>
      <c r="U524" s="21"/>
      <c r="V524" s="21"/>
      <c r="W524" s="20"/>
      <c r="X524" s="116"/>
      <c r="Y524" s="116"/>
      <c r="AA524" s="116"/>
      <c r="AB524" s="116"/>
    </row>
    <row r="525" spans="5:28">
      <c r="E525" s="55"/>
      <c r="F525" s="55"/>
      <c r="G525" s="21"/>
      <c r="H525" s="21"/>
      <c r="I525" s="21"/>
      <c r="J525" s="21"/>
      <c r="K525" s="21"/>
      <c r="S525" s="114"/>
      <c r="T525" s="22"/>
      <c r="U525" s="21"/>
      <c r="V525" s="21"/>
      <c r="W525" s="20"/>
      <c r="X525" s="116"/>
      <c r="Y525" s="116"/>
      <c r="AA525" s="116"/>
      <c r="AB525" s="116"/>
    </row>
    <row r="526" spans="5:28">
      <c r="E526" s="55"/>
      <c r="F526" s="55"/>
      <c r="G526" s="21"/>
      <c r="H526" s="21"/>
      <c r="I526" s="21"/>
      <c r="J526" s="21"/>
      <c r="K526" s="21"/>
      <c r="S526" s="114"/>
      <c r="T526" s="22"/>
      <c r="U526" s="21"/>
      <c r="V526" s="21"/>
      <c r="W526" s="20"/>
      <c r="X526" s="116"/>
      <c r="Y526" s="116"/>
      <c r="AA526" s="116"/>
      <c r="AB526" s="116"/>
    </row>
    <row r="527" spans="5:28">
      <c r="E527" s="55"/>
      <c r="F527" s="55"/>
      <c r="G527" s="21"/>
      <c r="H527" s="21"/>
      <c r="I527" s="21"/>
      <c r="J527" s="21"/>
      <c r="K527" s="21"/>
      <c r="S527" s="114"/>
      <c r="T527" s="22"/>
      <c r="U527" s="21"/>
      <c r="V527" s="21"/>
      <c r="W527" s="20"/>
      <c r="X527" s="116"/>
      <c r="Y527" s="116"/>
      <c r="AA527" s="116"/>
      <c r="AB527" s="116"/>
    </row>
    <row r="528" spans="5:28">
      <c r="E528" s="55"/>
      <c r="F528" s="55"/>
      <c r="G528" s="21"/>
      <c r="H528" s="21"/>
      <c r="I528" s="21"/>
      <c r="J528" s="21"/>
      <c r="K528" s="21"/>
      <c r="S528" s="114"/>
      <c r="T528" s="22"/>
      <c r="U528" s="21"/>
      <c r="V528" s="21"/>
      <c r="W528" s="20"/>
      <c r="X528" s="116"/>
      <c r="Y528" s="116"/>
      <c r="AA528" s="116"/>
      <c r="AB528" s="116"/>
    </row>
    <row r="529" spans="5:28">
      <c r="E529" s="55"/>
      <c r="F529" s="55"/>
      <c r="G529" s="21"/>
      <c r="H529" s="21"/>
      <c r="I529" s="21"/>
      <c r="J529" s="21"/>
      <c r="K529" s="21"/>
      <c r="S529" s="114"/>
      <c r="T529" s="22"/>
      <c r="U529" s="21"/>
      <c r="V529" s="21"/>
      <c r="W529" s="20"/>
      <c r="X529" s="116"/>
      <c r="Y529" s="116"/>
      <c r="AA529" s="116"/>
      <c r="AB529" s="116"/>
    </row>
    <row r="530" spans="5:28">
      <c r="E530" s="55"/>
      <c r="F530" s="55"/>
      <c r="G530" s="21"/>
      <c r="H530" s="21"/>
      <c r="I530" s="21"/>
      <c r="J530" s="21"/>
      <c r="K530" s="21"/>
      <c r="S530" s="114"/>
      <c r="T530" s="22"/>
      <c r="U530" s="21"/>
      <c r="V530" s="21"/>
      <c r="W530" s="20"/>
      <c r="X530" s="116"/>
      <c r="Y530" s="116"/>
      <c r="AA530" s="116"/>
      <c r="AB530" s="116"/>
    </row>
    <row r="531" spans="5:28">
      <c r="E531" s="55"/>
      <c r="F531" s="55"/>
      <c r="G531" s="21"/>
      <c r="H531" s="21"/>
      <c r="I531" s="21"/>
      <c r="J531" s="21"/>
      <c r="K531" s="21"/>
      <c r="S531" s="114"/>
      <c r="T531" s="22"/>
      <c r="U531" s="21"/>
      <c r="V531" s="21"/>
      <c r="W531" s="20"/>
      <c r="X531" s="116"/>
      <c r="Y531" s="116"/>
      <c r="AA531" s="116"/>
      <c r="AB531" s="116"/>
    </row>
    <row r="532" spans="5:28">
      <c r="E532" s="55"/>
      <c r="F532" s="55"/>
      <c r="G532" s="21"/>
      <c r="H532" s="21"/>
      <c r="I532" s="21"/>
      <c r="J532" s="21"/>
      <c r="K532" s="21"/>
      <c r="S532" s="114"/>
      <c r="T532" s="22"/>
      <c r="U532" s="21"/>
      <c r="V532" s="21"/>
      <c r="W532" s="20"/>
      <c r="X532" s="116"/>
      <c r="Y532" s="116"/>
      <c r="AA532" s="116"/>
      <c r="AB532" s="116"/>
    </row>
    <row r="533" spans="5:28">
      <c r="E533" s="55"/>
      <c r="F533" s="55"/>
      <c r="G533" s="21"/>
      <c r="H533" s="21"/>
      <c r="I533" s="21"/>
      <c r="J533" s="21"/>
      <c r="K533" s="21"/>
      <c r="S533" s="114"/>
      <c r="T533" s="22"/>
      <c r="U533" s="21"/>
      <c r="V533" s="21"/>
      <c r="W533" s="20"/>
      <c r="X533" s="116"/>
      <c r="Y533" s="116"/>
      <c r="AA533" s="116"/>
      <c r="AB533" s="116"/>
    </row>
    <row r="534" spans="5:28">
      <c r="E534" s="55"/>
      <c r="F534" s="55"/>
      <c r="G534" s="21"/>
      <c r="H534" s="21"/>
      <c r="I534" s="21"/>
      <c r="J534" s="21"/>
      <c r="K534" s="21"/>
      <c r="S534" s="114"/>
      <c r="T534" s="22"/>
      <c r="U534" s="21"/>
      <c r="V534" s="21"/>
      <c r="W534" s="20"/>
      <c r="X534" s="116"/>
      <c r="Y534" s="116"/>
      <c r="AA534" s="116"/>
      <c r="AB534" s="116"/>
    </row>
    <row r="535" spans="5:28">
      <c r="E535" s="55"/>
      <c r="F535" s="55"/>
      <c r="G535" s="21"/>
      <c r="H535" s="21"/>
      <c r="I535" s="21"/>
      <c r="J535" s="21"/>
      <c r="K535" s="21"/>
      <c r="S535" s="114"/>
      <c r="T535" s="22"/>
      <c r="U535" s="21"/>
      <c r="V535" s="21"/>
      <c r="W535" s="20"/>
      <c r="X535" s="116"/>
      <c r="Y535" s="116"/>
      <c r="AA535" s="116"/>
      <c r="AB535" s="116"/>
    </row>
    <row r="536" spans="5:28">
      <c r="E536" s="55"/>
      <c r="F536" s="55"/>
      <c r="G536" s="21"/>
      <c r="H536" s="21"/>
      <c r="I536" s="21"/>
      <c r="J536" s="21"/>
      <c r="K536" s="21"/>
      <c r="S536" s="114"/>
      <c r="T536" s="22"/>
      <c r="U536" s="21"/>
      <c r="V536" s="21"/>
      <c r="W536" s="20"/>
      <c r="X536" s="116"/>
      <c r="Y536" s="116"/>
      <c r="AA536" s="116"/>
      <c r="AB536" s="116"/>
    </row>
    <row r="537" spans="5:28">
      <c r="E537" s="55"/>
      <c r="F537" s="55"/>
      <c r="G537" s="21"/>
      <c r="H537" s="21"/>
      <c r="I537" s="21"/>
      <c r="J537" s="21"/>
      <c r="K537" s="21"/>
      <c r="S537" s="114"/>
      <c r="T537" s="22"/>
      <c r="U537" s="21"/>
      <c r="V537" s="21"/>
      <c r="W537" s="20"/>
      <c r="X537" s="116"/>
      <c r="Y537" s="116"/>
      <c r="AA537" s="116"/>
      <c r="AB537" s="116"/>
    </row>
    <row r="538" spans="5:28">
      <c r="E538" s="55"/>
      <c r="F538" s="55"/>
      <c r="G538" s="21"/>
      <c r="H538" s="21"/>
      <c r="I538" s="21"/>
      <c r="J538" s="21"/>
      <c r="K538" s="21"/>
      <c r="S538" s="114"/>
      <c r="T538" s="22"/>
      <c r="U538" s="21"/>
      <c r="V538" s="21"/>
      <c r="W538" s="20"/>
      <c r="X538" s="116"/>
      <c r="Y538" s="116"/>
      <c r="AA538" s="116"/>
      <c r="AB538" s="116"/>
    </row>
    <row r="539" spans="5:28">
      <c r="E539" s="55"/>
      <c r="F539" s="55"/>
      <c r="G539" s="21"/>
      <c r="H539" s="21"/>
      <c r="I539" s="21"/>
      <c r="J539" s="21"/>
      <c r="K539" s="21"/>
      <c r="S539" s="114"/>
      <c r="T539" s="22"/>
      <c r="U539" s="21"/>
      <c r="V539" s="21"/>
      <c r="W539" s="20"/>
      <c r="X539" s="116"/>
      <c r="Y539" s="116"/>
      <c r="AA539" s="116"/>
      <c r="AB539" s="116"/>
    </row>
    <row r="540" spans="5:28">
      <c r="E540" s="55"/>
      <c r="F540" s="55"/>
      <c r="G540" s="21"/>
      <c r="H540" s="21"/>
      <c r="I540" s="21"/>
      <c r="J540" s="21"/>
      <c r="K540" s="21"/>
      <c r="S540" s="114"/>
      <c r="T540" s="22"/>
      <c r="U540" s="21"/>
      <c r="V540" s="21"/>
      <c r="W540" s="20"/>
      <c r="X540" s="116"/>
      <c r="Y540" s="116"/>
      <c r="AA540" s="116"/>
      <c r="AB540" s="116"/>
    </row>
    <row r="541" spans="5:28">
      <c r="E541" s="55"/>
      <c r="F541" s="55"/>
      <c r="G541" s="21"/>
      <c r="H541" s="21"/>
      <c r="I541" s="21"/>
      <c r="J541" s="21"/>
      <c r="K541" s="21"/>
      <c r="S541" s="114"/>
      <c r="T541" s="22"/>
      <c r="U541" s="21"/>
      <c r="V541" s="21"/>
      <c r="W541" s="20"/>
      <c r="X541" s="116"/>
      <c r="Y541" s="116"/>
      <c r="AA541" s="116"/>
      <c r="AB541" s="116"/>
    </row>
    <row r="542" spans="5:28">
      <c r="E542" s="55"/>
      <c r="F542" s="55"/>
      <c r="G542" s="21"/>
      <c r="H542" s="21"/>
      <c r="I542" s="21"/>
      <c r="J542" s="21"/>
      <c r="K542" s="21"/>
      <c r="S542" s="114"/>
      <c r="T542" s="22"/>
      <c r="U542" s="21"/>
      <c r="V542" s="21"/>
      <c r="W542" s="20"/>
      <c r="X542" s="116"/>
      <c r="Y542" s="116"/>
      <c r="AA542" s="116"/>
      <c r="AB542" s="116"/>
    </row>
    <row r="543" spans="5:28">
      <c r="E543" s="55"/>
      <c r="F543" s="55"/>
      <c r="G543" s="21"/>
      <c r="H543" s="21"/>
      <c r="I543" s="21"/>
      <c r="J543" s="21"/>
      <c r="K543" s="21"/>
      <c r="S543" s="114"/>
      <c r="T543" s="22"/>
      <c r="U543" s="21"/>
      <c r="V543" s="21"/>
      <c r="W543" s="20"/>
      <c r="X543" s="116"/>
      <c r="Y543" s="116"/>
      <c r="AA543" s="116"/>
      <c r="AB543" s="116"/>
    </row>
    <row r="544" spans="5:28">
      <c r="E544" s="55"/>
      <c r="F544" s="55"/>
      <c r="G544" s="21"/>
      <c r="H544" s="21"/>
      <c r="I544" s="21"/>
      <c r="J544" s="21"/>
      <c r="K544" s="21"/>
      <c r="S544" s="114"/>
      <c r="T544" s="22"/>
      <c r="U544" s="21"/>
      <c r="V544" s="21"/>
      <c r="W544" s="20"/>
      <c r="X544" s="116"/>
      <c r="Y544" s="116"/>
      <c r="AA544" s="116"/>
      <c r="AB544" s="116"/>
    </row>
    <row r="545" spans="5:28">
      <c r="E545" s="55"/>
      <c r="F545" s="55"/>
      <c r="G545" s="21"/>
      <c r="H545" s="21"/>
      <c r="I545" s="21"/>
      <c r="J545" s="21"/>
      <c r="K545" s="21"/>
      <c r="S545" s="114"/>
      <c r="T545" s="22"/>
      <c r="U545" s="21"/>
      <c r="V545" s="21"/>
      <c r="W545" s="20"/>
      <c r="X545" s="116"/>
      <c r="Y545" s="116"/>
      <c r="AA545" s="116"/>
      <c r="AB545" s="116"/>
    </row>
    <row r="546" spans="5:28">
      <c r="E546" s="55"/>
      <c r="F546" s="55"/>
      <c r="G546" s="21"/>
      <c r="H546" s="21"/>
      <c r="I546" s="21"/>
      <c r="J546" s="21"/>
      <c r="K546" s="21"/>
      <c r="S546" s="114"/>
      <c r="T546" s="22"/>
      <c r="U546" s="21"/>
      <c r="V546" s="21"/>
      <c r="W546" s="20"/>
      <c r="X546" s="116"/>
      <c r="Y546" s="116"/>
      <c r="AA546" s="116"/>
      <c r="AB546" s="116"/>
    </row>
    <row r="547" spans="5:28">
      <c r="E547" s="55"/>
      <c r="F547" s="55"/>
      <c r="G547" s="21"/>
      <c r="H547" s="21"/>
      <c r="I547" s="21"/>
      <c r="J547" s="21"/>
      <c r="K547" s="21"/>
      <c r="S547" s="114"/>
      <c r="T547" s="22"/>
      <c r="U547" s="21"/>
      <c r="V547" s="21"/>
      <c r="W547" s="20"/>
      <c r="X547" s="116"/>
      <c r="Y547" s="116"/>
      <c r="AA547" s="116"/>
      <c r="AB547" s="116"/>
    </row>
    <row r="548" spans="5:28">
      <c r="E548" s="55"/>
      <c r="F548" s="55"/>
      <c r="G548" s="21"/>
      <c r="H548" s="21"/>
      <c r="I548" s="21"/>
      <c r="J548" s="21"/>
      <c r="K548" s="21"/>
      <c r="S548" s="114"/>
      <c r="T548" s="22"/>
      <c r="U548" s="21"/>
      <c r="V548" s="21"/>
      <c r="W548" s="20"/>
      <c r="X548" s="116"/>
      <c r="Y548" s="116"/>
      <c r="AA548" s="116"/>
      <c r="AB548" s="116"/>
    </row>
    <row r="549" spans="5:28">
      <c r="E549" s="55"/>
      <c r="F549" s="55"/>
      <c r="G549" s="21"/>
      <c r="H549" s="21"/>
      <c r="I549" s="21"/>
      <c r="J549" s="21"/>
      <c r="K549" s="21"/>
      <c r="S549" s="114"/>
      <c r="T549" s="22"/>
      <c r="U549" s="21"/>
      <c r="V549" s="21"/>
      <c r="W549" s="20"/>
      <c r="X549" s="116"/>
      <c r="Y549" s="116"/>
      <c r="AA549" s="116"/>
      <c r="AB549" s="116"/>
    </row>
    <row r="550" spans="5:28">
      <c r="E550" s="55"/>
      <c r="F550" s="55"/>
      <c r="G550" s="21"/>
      <c r="H550" s="21"/>
      <c r="I550" s="21"/>
      <c r="J550" s="21"/>
      <c r="K550" s="21"/>
      <c r="S550" s="114"/>
      <c r="T550" s="22"/>
      <c r="U550" s="21"/>
      <c r="V550" s="21"/>
      <c r="W550" s="20"/>
      <c r="X550" s="116"/>
      <c r="Y550" s="116"/>
      <c r="AA550" s="116"/>
      <c r="AB550" s="116"/>
    </row>
    <row r="551" spans="5:28">
      <c r="E551" s="55"/>
      <c r="F551" s="55"/>
      <c r="G551" s="21"/>
      <c r="H551" s="21"/>
      <c r="I551" s="21"/>
      <c r="J551" s="21"/>
      <c r="K551" s="21"/>
      <c r="S551" s="114"/>
      <c r="T551" s="22"/>
      <c r="U551" s="21"/>
      <c r="V551" s="21"/>
      <c r="W551" s="20"/>
      <c r="X551" s="116"/>
      <c r="Y551" s="116"/>
      <c r="AA551" s="116"/>
      <c r="AB551" s="116"/>
    </row>
    <row r="552" spans="5:28">
      <c r="E552" s="55"/>
      <c r="F552" s="55"/>
      <c r="G552" s="21"/>
      <c r="H552" s="21"/>
      <c r="I552" s="21"/>
      <c r="J552" s="21"/>
      <c r="K552" s="21"/>
      <c r="S552" s="114"/>
      <c r="T552" s="22"/>
      <c r="U552" s="21"/>
      <c r="V552" s="21"/>
      <c r="W552" s="20"/>
      <c r="X552" s="116"/>
      <c r="Y552" s="116"/>
      <c r="AA552" s="116"/>
      <c r="AB552" s="116"/>
    </row>
    <row r="553" spans="5:28">
      <c r="E553" s="55"/>
      <c r="F553" s="55"/>
      <c r="G553" s="21"/>
      <c r="H553" s="21"/>
      <c r="I553" s="21"/>
      <c r="J553" s="21"/>
      <c r="K553" s="21"/>
      <c r="S553" s="114"/>
      <c r="T553" s="22"/>
      <c r="U553" s="21"/>
      <c r="V553" s="21"/>
      <c r="W553" s="20"/>
      <c r="X553" s="116"/>
      <c r="Y553" s="116"/>
      <c r="AA553" s="116"/>
      <c r="AB553" s="116"/>
    </row>
    <row r="554" spans="5:28">
      <c r="E554" s="55"/>
      <c r="F554" s="55"/>
      <c r="G554" s="21"/>
      <c r="H554" s="21"/>
      <c r="I554" s="21"/>
      <c r="J554" s="21"/>
      <c r="K554" s="21"/>
      <c r="S554" s="114"/>
      <c r="T554" s="22"/>
      <c r="U554" s="21"/>
      <c r="V554" s="21"/>
      <c r="W554" s="20"/>
      <c r="X554" s="116"/>
      <c r="Y554" s="116"/>
      <c r="AA554" s="116"/>
      <c r="AB554" s="116"/>
    </row>
    <row r="555" spans="5:28">
      <c r="E555" s="55"/>
      <c r="F555" s="55"/>
      <c r="G555" s="21"/>
      <c r="H555" s="21"/>
      <c r="I555" s="21"/>
      <c r="J555" s="21"/>
      <c r="K555" s="21"/>
      <c r="S555" s="114"/>
      <c r="T555" s="22"/>
      <c r="U555" s="21"/>
      <c r="V555" s="21"/>
      <c r="W555" s="20"/>
      <c r="X555" s="116"/>
      <c r="Y555" s="116"/>
      <c r="AA555" s="116"/>
      <c r="AB555" s="116"/>
    </row>
    <row r="556" spans="5:28">
      <c r="E556" s="55"/>
      <c r="F556" s="55"/>
      <c r="G556" s="21"/>
      <c r="H556" s="21"/>
      <c r="I556" s="21"/>
      <c r="J556" s="21"/>
      <c r="K556" s="21"/>
      <c r="S556" s="114"/>
      <c r="T556" s="22"/>
      <c r="U556" s="21"/>
      <c r="V556" s="21"/>
      <c r="W556" s="20"/>
      <c r="X556" s="116"/>
      <c r="Y556" s="116"/>
      <c r="AA556" s="116"/>
      <c r="AB556" s="116"/>
    </row>
    <row r="557" spans="5:28">
      <c r="E557" s="55"/>
      <c r="F557" s="55"/>
      <c r="G557" s="21"/>
      <c r="H557" s="21"/>
      <c r="I557" s="21"/>
      <c r="J557" s="21"/>
      <c r="K557" s="21"/>
      <c r="S557" s="114"/>
      <c r="T557" s="22"/>
      <c r="U557" s="21"/>
      <c r="V557" s="21"/>
      <c r="W557" s="20"/>
      <c r="X557" s="116"/>
      <c r="Y557" s="116"/>
      <c r="AA557" s="116"/>
      <c r="AB557" s="116"/>
    </row>
    <row r="558" spans="5:28">
      <c r="E558" s="55"/>
      <c r="F558" s="55"/>
      <c r="G558" s="21"/>
      <c r="H558" s="21"/>
      <c r="I558" s="21"/>
      <c r="J558" s="21"/>
      <c r="K558" s="21"/>
      <c r="S558" s="114"/>
      <c r="T558" s="22"/>
      <c r="U558" s="21"/>
      <c r="V558" s="21"/>
      <c r="W558" s="20"/>
      <c r="X558" s="116"/>
      <c r="Y558" s="116"/>
      <c r="AA558" s="116"/>
      <c r="AB558" s="116"/>
    </row>
    <row r="559" spans="5:28">
      <c r="E559" s="55"/>
      <c r="F559" s="55"/>
      <c r="G559" s="21"/>
      <c r="H559" s="21"/>
      <c r="I559" s="21"/>
      <c r="J559" s="21"/>
      <c r="K559" s="21"/>
      <c r="S559" s="114"/>
      <c r="T559" s="22"/>
      <c r="U559" s="21"/>
      <c r="V559" s="21"/>
      <c r="W559" s="20"/>
      <c r="X559" s="116"/>
      <c r="Y559" s="116"/>
      <c r="AA559" s="116"/>
      <c r="AB559" s="116"/>
    </row>
    <row r="560" spans="5:28">
      <c r="E560" s="55"/>
      <c r="F560" s="55"/>
      <c r="G560" s="21"/>
      <c r="H560" s="21"/>
      <c r="I560" s="21"/>
      <c r="J560" s="21"/>
      <c r="K560" s="21"/>
      <c r="S560" s="114"/>
      <c r="T560" s="22"/>
      <c r="U560" s="21"/>
      <c r="V560" s="21"/>
      <c r="W560" s="20"/>
      <c r="X560" s="116"/>
      <c r="Y560" s="116"/>
      <c r="AA560" s="116"/>
      <c r="AB560" s="116"/>
    </row>
    <row r="561" spans="5:28">
      <c r="E561" s="55"/>
      <c r="F561" s="55"/>
      <c r="G561" s="21"/>
      <c r="H561" s="21"/>
      <c r="I561" s="21"/>
      <c r="J561" s="21"/>
      <c r="K561" s="21"/>
      <c r="S561" s="114"/>
      <c r="T561" s="22"/>
      <c r="U561" s="21"/>
      <c r="V561" s="21"/>
      <c r="W561" s="20"/>
      <c r="X561" s="116"/>
      <c r="Y561" s="116"/>
      <c r="AA561" s="116"/>
      <c r="AB561" s="116"/>
    </row>
    <row r="562" spans="5:28">
      <c r="E562" s="55"/>
      <c r="F562" s="55"/>
      <c r="G562" s="21"/>
      <c r="H562" s="21"/>
      <c r="I562" s="21"/>
      <c r="J562" s="21"/>
      <c r="K562" s="21"/>
      <c r="S562" s="114"/>
      <c r="T562" s="22"/>
      <c r="U562" s="21"/>
      <c r="V562" s="21"/>
      <c r="W562" s="20"/>
      <c r="X562" s="116"/>
      <c r="Y562" s="116"/>
      <c r="AA562" s="116"/>
      <c r="AB562" s="116"/>
    </row>
    <row r="563" spans="5:28">
      <c r="E563" s="55"/>
      <c r="F563" s="55"/>
      <c r="G563" s="21"/>
      <c r="H563" s="21"/>
      <c r="I563" s="21"/>
      <c r="J563" s="21"/>
      <c r="K563" s="21"/>
      <c r="S563" s="114"/>
      <c r="T563" s="22"/>
      <c r="U563" s="21"/>
      <c r="V563" s="21"/>
      <c r="W563" s="20"/>
      <c r="X563" s="116"/>
      <c r="Y563" s="116"/>
      <c r="AA563" s="116"/>
      <c r="AB563" s="116"/>
    </row>
    <row r="564" spans="5:28">
      <c r="E564" s="55"/>
      <c r="F564" s="55"/>
      <c r="G564" s="21"/>
      <c r="H564" s="21"/>
      <c r="I564" s="21"/>
      <c r="J564" s="21"/>
      <c r="K564" s="21"/>
      <c r="S564" s="114"/>
      <c r="T564" s="22"/>
      <c r="U564" s="21"/>
      <c r="V564" s="21"/>
      <c r="W564" s="20"/>
      <c r="X564" s="116"/>
      <c r="Y564" s="116"/>
      <c r="AA564" s="116"/>
      <c r="AB564" s="116"/>
    </row>
    <row r="565" spans="5:28">
      <c r="E565" s="55"/>
      <c r="F565" s="55"/>
      <c r="G565" s="21"/>
      <c r="H565" s="21"/>
      <c r="I565" s="21"/>
      <c r="J565" s="21"/>
      <c r="K565" s="21"/>
      <c r="S565" s="114"/>
      <c r="T565" s="22"/>
      <c r="U565" s="21"/>
      <c r="V565" s="21"/>
      <c r="W565" s="20"/>
      <c r="X565" s="116"/>
      <c r="Y565" s="116"/>
      <c r="AA565" s="116"/>
      <c r="AB565" s="116"/>
    </row>
    <row r="566" spans="5:28">
      <c r="E566" s="55"/>
      <c r="F566" s="55"/>
      <c r="G566" s="21"/>
      <c r="H566" s="21"/>
      <c r="I566" s="21"/>
      <c r="J566" s="21"/>
      <c r="K566" s="21"/>
      <c r="S566" s="114"/>
      <c r="T566" s="22"/>
      <c r="U566" s="21"/>
      <c r="V566" s="21"/>
      <c r="W566" s="20"/>
      <c r="X566" s="116"/>
      <c r="Y566" s="116"/>
      <c r="AA566" s="116"/>
      <c r="AB566" s="116"/>
    </row>
    <row r="567" spans="5:28">
      <c r="E567" s="55"/>
      <c r="F567" s="55"/>
      <c r="G567" s="21"/>
      <c r="H567" s="21"/>
      <c r="I567" s="21"/>
      <c r="J567" s="21"/>
      <c r="K567" s="21"/>
      <c r="S567" s="114"/>
      <c r="T567" s="22"/>
      <c r="U567" s="21"/>
      <c r="V567" s="21"/>
      <c r="W567" s="20"/>
      <c r="X567" s="116"/>
      <c r="Y567" s="116"/>
      <c r="AA567" s="116"/>
      <c r="AB567" s="116"/>
    </row>
    <row r="568" spans="5:28">
      <c r="E568" s="55"/>
      <c r="F568" s="55"/>
      <c r="G568" s="21"/>
      <c r="H568" s="21"/>
      <c r="I568" s="21"/>
      <c r="J568" s="21"/>
      <c r="K568" s="21"/>
      <c r="S568" s="114"/>
      <c r="T568" s="22"/>
      <c r="U568" s="21"/>
      <c r="V568" s="21"/>
      <c r="W568" s="20"/>
      <c r="X568" s="116"/>
      <c r="Y568" s="116"/>
      <c r="AA568" s="116"/>
      <c r="AB568" s="116"/>
    </row>
    <row r="569" spans="5:28">
      <c r="E569" s="55"/>
      <c r="F569" s="55"/>
      <c r="G569" s="21"/>
      <c r="H569" s="21"/>
      <c r="I569" s="21"/>
      <c r="J569" s="21"/>
      <c r="K569" s="21"/>
      <c r="S569" s="114"/>
      <c r="T569" s="22"/>
      <c r="U569" s="21"/>
      <c r="V569" s="21"/>
      <c r="W569" s="20"/>
      <c r="X569" s="116"/>
      <c r="Y569" s="116"/>
      <c r="AA569" s="116"/>
      <c r="AB569" s="116"/>
    </row>
    <row r="570" spans="5:28">
      <c r="E570" s="55"/>
      <c r="F570" s="55"/>
      <c r="G570" s="21"/>
      <c r="H570" s="21"/>
      <c r="I570" s="21"/>
      <c r="J570" s="21"/>
      <c r="K570" s="21"/>
      <c r="S570" s="114"/>
      <c r="T570" s="22"/>
      <c r="U570" s="21"/>
      <c r="V570" s="21"/>
      <c r="W570" s="20"/>
      <c r="X570" s="116"/>
      <c r="Y570" s="116"/>
      <c r="AA570" s="116"/>
      <c r="AB570" s="116"/>
    </row>
    <row r="571" spans="5:28">
      <c r="E571" s="55"/>
      <c r="F571" s="55"/>
      <c r="G571" s="21"/>
      <c r="H571" s="21"/>
      <c r="I571" s="21"/>
      <c r="J571" s="21"/>
      <c r="K571" s="21"/>
      <c r="S571" s="114"/>
      <c r="T571" s="22"/>
      <c r="U571" s="21"/>
      <c r="V571" s="21"/>
      <c r="W571" s="20"/>
      <c r="X571" s="116"/>
      <c r="Y571" s="116"/>
      <c r="AA571" s="116"/>
      <c r="AB571" s="116"/>
    </row>
    <row r="572" spans="5:28">
      <c r="E572" s="55"/>
      <c r="F572" s="55"/>
      <c r="G572" s="21"/>
      <c r="H572" s="21"/>
      <c r="I572" s="21"/>
      <c r="J572" s="21"/>
      <c r="K572" s="21"/>
      <c r="S572" s="114"/>
      <c r="T572" s="22"/>
      <c r="U572" s="21"/>
      <c r="V572" s="21"/>
      <c r="W572" s="20"/>
      <c r="X572" s="116"/>
      <c r="Y572" s="116"/>
      <c r="AA572" s="116"/>
      <c r="AB572" s="116"/>
    </row>
    <row r="573" spans="5:28">
      <c r="E573" s="55"/>
      <c r="F573" s="55"/>
      <c r="G573" s="21"/>
      <c r="H573" s="21"/>
      <c r="I573" s="21"/>
      <c r="J573" s="21"/>
      <c r="K573" s="21"/>
      <c r="S573" s="114"/>
      <c r="T573" s="22"/>
      <c r="U573" s="21"/>
      <c r="V573" s="21"/>
      <c r="W573" s="20"/>
      <c r="X573" s="116"/>
      <c r="Y573" s="116"/>
      <c r="AA573" s="116"/>
      <c r="AB573" s="116"/>
    </row>
    <row r="574" spans="5:28">
      <c r="E574" s="55"/>
      <c r="F574" s="55"/>
      <c r="G574" s="21"/>
      <c r="H574" s="21"/>
      <c r="I574" s="21"/>
      <c r="J574" s="21"/>
      <c r="K574" s="21"/>
      <c r="S574" s="114"/>
      <c r="T574" s="22"/>
      <c r="U574" s="21"/>
      <c r="V574" s="21"/>
      <c r="W574" s="20"/>
      <c r="X574" s="116"/>
      <c r="Y574" s="116"/>
      <c r="AA574" s="116"/>
      <c r="AB574" s="116"/>
    </row>
    <row r="575" spans="5:28">
      <c r="E575" s="55"/>
      <c r="F575" s="55"/>
      <c r="G575" s="21"/>
      <c r="H575" s="21"/>
      <c r="I575" s="21"/>
      <c r="J575" s="21"/>
      <c r="K575" s="21"/>
      <c r="S575" s="114"/>
      <c r="T575" s="22"/>
      <c r="U575" s="21"/>
      <c r="V575" s="21"/>
      <c r="W575" s="20"/>
      <c r="X575" s="116"/>
      <c r="Y575" s="116"/>
      <c r="AA575" s="116"/>
      <c r="AB575" s="116"/>
    </row>
    <row r="576" spans="5:28">
      <c r="E576" s="55"/>
      <c r="F576" s="55"/>
      <c r="G576" s="21"/>
      <c r="H576" s="21"/>
      <c r="I576" s="21"/>
      <c r="J576" s="21"/>
      <c r="K576" s="21"/>
      <c r="S576" s="114"/>
      <c r="T576" s="22"/>
      <c r="U576" s="21"/>
      <c r="V576" s="21"/>
      <c r="W576" s="20"/>
      <c r="X576" s="116"/>
      <c r="Y576" s="116"/>
      <c r="AA576" s="116"/>
      <c r="AB576" s="116"/>
    </row>
    <row r="577" spans="5:28">
      <c r="E577" s="55"/>
      <c r="F577" s="55"/>
      <c r="G577" s="21"/>
      <c r="H577" s="21"/>
      <c r="I577" s="21"/>
      <c r="J577" s="21"/>
      <c r="K577" s="21"/>
      <c r="S577" s="114"/>
      <c r="T577" s="22"/>
      <c r="U577" s="21"/>
      <c r="V577" s="21"/>
      <c r="W577" s="20"/>
      <c r="X577" s="116"/>
      <c r="Y577" s="116"/>
      <c r="AA577" s="116"/>
      <c r="AB577" s="116"/>
    </row>
    <row r="578" spans="5:28">
      <c r="E578" s="55"/>
      <c r="F578" s="55"/>
      <c r="G578" s="21"/>
      <c r="H578" s="21"/>
      <c r="I578" s="21"/>
      <c r="J578" s="21"/>
      <c r="K578" s="21"/>
      <c r="S578" s="114"/>
      <c r="T578" s="22"/>
      <c r="U578" s="21"/>
      <c r="V578" s="21"/>
      <c r="W578" s="20"/>
      <c r="X578" s="116"/>
      <c r="Y578" s="116"/>
      <c r="AA578" s="116"/>
      <c r="AB578" s="116"/>
    </row>
    <row r="579" spans="5:28">
      <c r="E579" s="55"/>
      <c r="F579" s="55"/>
      <c r="G579" s="21"/>
      <c r="H579" s="21"/>
      <c r="I579" s="21"/>
      <c r="J579" s="21"/>
      <c r="K579" s="21"/>
      <c r="S579" s="114"/>
      <c r="T579" s="22"/>
      <c r="U579" s="21"/>
      <c r="V579" s="21"/>
      <c r="W579" s="20"/>
      <c r="X579" s="116"/>
      <c r="Y579" s="116"/>
      <c r="AA579" s="116"/>
      <c r="AB579" s="116"/>
    </row>
    <row r="580" spans="5:28">
      <c r="E580" s="55"/>
      <c r="F580" s="55"/>
      <c r="G580" s="21"/>
      <c r="H580" s="21"/>
      <c r="I580" s="21"/>
      <c r="J580" s="21"/>
      <c r="K580" s="21"/>
      <c r="S580" s="114"/>
      <c r="T580" s="22"/>
      <c r="U580" s="21"/>
      <c r="V580" s="21"/>
      <c r="W580" s="20"/>
      <c r="X580" s="116"/>
      <c r="Y580" s="116"/>
      <c r="AA580" s="116"/>
      <c r="AB580" s="116"/>
    </row>
    <row r="581" spans="5:28">
      <c r="E581" s="55"/>
      <c r="F581" s="55"/>
      <c r="G581" s="21"/>
      <c r="H581" s="21"/>
      <c r="I581" s="21"/>
      <c r="J581" s="21"/>
      <c r="K581" s="21"/>
      <c r="S581" s="114"/>
      <c r="T581" s="22"/>
      <c r="U581" s="21"/>
      <c r="V581" s="21"/>
      <c r="W581" s="20"/>
      <c r="X581" s="116"/>
      <c r="Y581" s="116"/>
      <c r="AA581" s="116"/>
      <c r="AB581" s="116"/>
    </row>
    <row r="582" spans="5:28">
      <c r="E582" s="55"/>
      <c r="F582" s="55"/>
      <c r="G582" s="21"/>
      <c r="H582" s="21"/>
      <c r="I582" s="21"/>
      <c r="J582" s="21"/>
      <c r="K582" s="21"/>
      <c r="S582" s="114"/>
      <c r="T582" s="22"/>
      <c r="U582" s="21"/>
      <c r="V582" s="21"/>
      <c r="W582" s="20"/>
      <c r="X582" s="116"/>
      <c r="Y582" s="116"/>
      <c r="AA582" s="116"/>
      <c r="AB582" s="116"/>
    </row>
    <row r="583" spans="5:28">
      <c r="E583" s="55"/>
      <c r="F583" s="55"/>
      <c r="G583" s="21"/>
      <c r="H583" s="21"/>
      <c r="I583" s="21"/>
      <c r="J583" s="21"/>
      <c r="K583" s="21"/>
      <c r="S583" s="114"/>
      <c r="T583" s="22"/>
      <c r="U583" s="21"/>
      <c r="V583" s="21"/>
      <c r="W583" s="20"/>
      <c r="X583" s="116"/>
      <c r="Y583" s="116"/>
      <c r="AA583" s="116"/>
      <c r="AB583" s="116"/>
    </row>
    <row r="584" spans="5:28">
      <c r="E584" s="55"/>
      <c r="F584" s="55"/>
      <c r="G584" s="21"/>
      <c r="H584" s="21"/>
      <c r="I584" s="21"/>
      <c r="J584" s="21"/>
      <c r="K584" s="21"/>
      <c r="S584" s="114"/>
      <c r="T584" s="22"/>
      <c r="U584" s="21"/>
      <c r="V584" s="21"/>
      <c r="W584" s="20"/>
      <c r="X584" s="116"/>
      <c r="Y584" s="116"/>
      <c r="AA584" s="116"/>
      <c r="AB584" s="116"/>
    </row>
    <row r="585" spans="5:28">
      <c r="E585" s="55"/>
      <c r="F585" s="55"/>
      <c r="G585" s="21"/>
      <c r="H585" s="21"/>
      <c r="I585" s="21"/>
      <c r="J585" s="21"/>
      <c r="K585" s="21"/>
      <c r="S585" s="114"/>
      <c r="T585" s="22"/>
      <c r="U585" s="21"/>
      <c r="V585" s="21"/>
      <c r="W585" s="20"/>
      <c r="X585" s="116"/>
      <c r="Y585" s="116"/>
      <c r="AA585" s="116"/>
      <c r="AB585" s="116"/>
    </row>
    <row r="586" spans="5:28">
      <c r="E586" s="55"/>
      <c r="F586" s="55"/>
      <c r="G586" s="21"/>
      <c r="H586" s="21"/>
      <c r="I586" s="21"/>
      <c r="J586" s="21"/>
      <c r="K586" s="21"/>
      <c r="S586" s="114"/>
      <c r="T586" s="22"/>
      <c r="U586" s="21"/>
      <c r="V586" s="21"/>
      <c r="W586" s="20"/>
      <c r="X586" s="116"/>
      <c r="Y586" s="116"/>
      <c r="AA586" s="116"/>
      <c r="AB586" s="116"/>
    </row>
    <row r="587" spans="5:28">
      <c r="E587" s="55"/>
      <c r="F587" s="55"/>
      <c r="G587" s="21"/>
      <c r="H587" s="21"/>
      <c r="I587" s="21"/>
      <c r="J587" s="21"/>
      <c r="K587" s="21"/>
      <c r="S587" s="114"/>
      <c r="T587" s="22"/>
      <c r="U587" s="21"/>
      <c r="V587" s="21"/>
      <c r="W587" s="20"/>
      <c r="X587" s="116"/>
      <c r="Y587" s="116"/>
      <c r="AA587" s="116"/>
      <c r="AB587" s="116"/>
    </row>
    <row r="588" spans="5:28">
      <c r="E588" s="55"/>
      <c r="F588" s="55"/>
      <c r="G588" s="21"/>
      <c r="H588" s="21"/>
      <c r="I588" s="21"/>
      <c r="J588" s="21"/>
      <c r="K588" s="21"/>
      <c r="S588" s="114"/>
      <c r="T588" s="22"/>
      <c r="U588" s="21"/>
      <c r="V588" s="21"/>
      <c r="W588" s="20"/>
      <c r="X588" s="116"/>
      <c r="Y588" s="116"/>
      <c r="AA588" s="116"/>
      <c r="AB588" s="116"/>
    </row>
    <row r="589" spans="5:28">
      <c r="E589" s="55"/>
      <c r="F589" s="55"/>
      <c r="G589" s="21"/>
      <c r="H589" s="21"/>
      <c r="I589" s="21"/>
      <c r="J589" s="21"/>
      <c r="K589" s="21"/>
      <c r="S589" s="114"/>
      <c r="T589" s="22"/>
      <c r="U589" s="21"/>
      <c r="V589" s="21"/>
      <c r="W589" s="20"/>
      <c r="X589" s="116"/>
      <c r="Y589" s="116"/>
      <c r="AA589" s="116"/>
      <c r="AB589" s="116"/>
    </row>
    <row r="590" spans="5:28">
      <c r="E590" s="55"/>
      <c r="F590" s="55"/>
      <c r="G590" s="21"/>
      <c r="H590" s="21"/>
      <c r="I590" s="21"/>
      <c r="J590" s="21"/>
      <c r="K590" s="21"/>
      <c r="S590" s="114"/>
      <c r="T590" s="22"/>
      <c r="U590" s="21"/>
      <c r="V590" s="21"/>
      <c r="W590" s="20"/>
      <c r="X590" s="116"/>
      <c r="Y590" s="116"/>
      <c r="AA590" s="116"/>
      <c r="AB590" s="116"/>
    </row>
    <row r="591" spans="5:28">
      <c r="E591" s="55"/>
      <c r="F591" s="55"/>
      <c r="G591" s="21"/>
      <c r="H591" s="21"/>
      <c r="I591" s="21"/>
      <c r="J591" s="21"/>
      <c r="K591" s="21"/>
      <c r="S591" s="114"/>
      <c r="T591" s="22"/>
      <c r="U591" s="21"/>
      <c r="V591" s="21"/>
      <c r="W591" s="20"/>
      <c r="X591" s="116"/>
      <c r="Y591" s="116"/>
      <c r="AA591" s="116"/>
      <c r="AB591" s="116"/>
    </row>
    <row r="592" spans="5:28">
      <c r="E592" s="55"/>
      <c r="F592" s="55"/>
      <c r="G592" s="21"/>
      <c r="H592" s="21"/>
      <c r="I592" s="21"/>
      <c r="J592" s="21"/>
      <c r="K592" s="21"/>
      <c r="S592" s="114"/>
      <c r="T592" s="22"/>
      <c r="U592" s="21"/>
      <c r="V592" s="21"/>
      <c r="W592" s="20"/>
      <c r="X592" s="116"/>
      <c r="Y592" s="116"/>
      <c r="AA592" s="116"/>
      <c r="AB592" s="116"/>
    </row>
    <row r="593" spans="5:28">
      <c r="E593" s="55"/>
      <c r="F593" s="55"/>
      <c r="G593" s="21"/>
      <c r="H593" s="21"/>
      <c r="I593" s="21"/>
      <c r="J593" s="21"/>
      <c r="K593" s="21"/>
      <c r="S593" s="114"/>
      <c r="T593" s="22"/>
      <c r="U593" s="21"/>
      <c r="V593" s="21"/>
      <c r="W593" s="20"/>
      <c r="X593" s="116"/>
      <c r="Y593" s="116"/>
      <c r="AA593" s="116"/>
      <c r="AB593" s="116"/>
    </row>
    <row r="594" spans="5:28">
      <c r="E594" s="55"/>
      <c r="F594" s="55"/>
      <c r="G594" s="21"/>
      <c r="H594" s="21"/>
      <c r="I594" s="21"/>
      <c r="J594" s="21"/>
      <c r="K594" s="21"/>
      <c r="S594" s="114"/>
      <c r="T594" s="22"/>
      <c r="U594" s="21"/>
      <c r="V594" s="21"/>
      <c r="W594" s="20"/>
      <c r="X594" s="116"/>
      <c r="Y594" s="116"/>
      <c r="AA594" s="116"/>
      <c r="AB594" s="116"/>
    </row>
    <row r="595" spans="5:28">
      <c r="E595" s="55"/>
      <c r="F595" s="55"/>
      <c r="G595" s="21"/>
      <c r="H595" s="21"/>
      <c r="I595" s="21"/>
      <c r="J595" s="21"/>
      <c r="K595" s="21"/>
      <c r="S595" s="114"/>
      <c r="T595" s="22"/>
      <c r="U595" s="21"/>
      <c r="V595" s="21"/>
      <c r="W595" s="20"/>
      <c r="X595" s="116"/>
      <c r="Y595" s="116"/>
      <c r="AA595" s="116"/>
      <c r="AB595" s="116"/>
    </row>
    <row r="596" spans="5:28">
      <c r="E596" s="55"/>
      <c r="F596" s="55"/>
      <c r="G596" s="21"/>
      <c r="H596" s="21"/>
      <c r="I596" s="21"/>
      <c r="J596" s="21"/>
      <c r="K596" s="21"/>
      <c r="S596" s="114"/>
      <c r="T596" s="22"/>
      <c r="U596" s="21"/>
      <c r="V596" s="21"/>
      <c r="W596" s="20"/>
      <c r="X596" s="116"/>
      <c r="Y596" s="116"/>
      <c r="AA596" s="116"/>
      <c r="AB596" s="116"/>
    </row>
    <row r="597" spans="5:28">
      <c r="E597" s="55"/>
      <c r="F597" s="55"/>
      <c r="G597" s="21"/>
      <c r="H597" s="21"/>
      <c r="I597" s="21"/>
      <c r="J597" s="21"/>
      <c r="K597" s="21"/>
      <c r="S597" s="114"/>
      <c r="T597" s="22"/>
      <c r="U597" s="21"/>
      <c r="V597" s="21"/>
      <c r="W597" s="20"/>
      <c r="X597" s="120"/>
      <c r="Y597" s="120"/>
      <c r="Z597" s="121"/>
      <c r="AA597" s="120"/>
      <c r="AB597" s="120"/>
    </row>
    <row r="598" spans="5:28">
      <c r="E598" s="55"/>
      <c r="F598" s="55"/>
      <c r="G598" s="21"/>
      <c r="H598" s="21"/>
      <c r="I598" s="21"/>
      <c r="J598" s="21"/>
      <c r="K598" s="21"/>
      <c r="S598" s="114"/>
      <c r="T598" s="22"/>
      <c r="U598" s="21"/>
      <c r="V598" s="21"/>
      <c r="W598" s="20"/>
      <c r="X598" s="120"/>
      <c r="Y598" s="120"/>
      <c r="Z598" s="121"/>
      <c r="AA598" s="120"/>
      <c r="AB598" s="120"/>
    </row>
    <row r="599" spans="5:28">
      <c r="E599" s="55"/>
      <c r="F599" s="55"/>
      <c r="G599" s="21"/>
      <c r="H599" s="21"/>
      <c r="I599" s="21"/>
      <c r="J599" s="21"/>
      <c r="K599" s="21"/>
      <c r="S599" s="114"/>
      <c r="T599" s="22"/>
      <c r="U599" s="21"/>
      <c r="V599" s="21"/>
      <c r="W599" s="20"/>
      <c r="X599" s="120"/>
      <c r="Y599" s="120"/>
      <c r="Z599" s="121"/>
      <c r="AA599" s="120"/>
      <c r="AB599" s="120"/>
    </row>
    <row r="600" spans="5:28">
      <c r="E600" s="55"/>
      <c r="F600" s="55"/>
      <c r="G600" s="21"/>
      <c r="H600" s="21"/>
      <c r="I600" s="21"/>
      <c r="J600" s="21"/>
      <c r="K600" s="21"/>
      <c r="S600" s="114"/>
      <c r="T600" s="22"/>
      <c r="U600" s="21"/>
      <c r="V600" s="21"/>
      <c r="W600" s="20"/>
      <c r="X600" s="120"/>
      <c r="Y600" s="120"/>
      <c r="Z600" s="121"/>
      <c r="AA600" s="120"/>
      <c r="AB600" s="120"/>
    </row>
    <row r="601" spans="5:28">
      <c r="E601" s="55"/>
      <c r="F601" s="55"/>
      <c r="G601" s="21"/>
      <c r="H601" s="21"/>
      <c r="I601" s="21"/>
      <c r="J601" s="21"/>
      <c r="K601" s="21"/>
      <c r="S601" s="114"/>
      <c r="T601" s="22"/>
      <c r="U601" s="21"/>
      <c r="V601" s="21"/>
      <c r="W601" s="20"/>
      <c r="X601" s="120"/>
      <c r="Y601" s="120"/>
      <c r="Z601" s="121"/>
      <c r="AA601" s="120"/>
      <c r="AB601" s="120"/>
    </row>
    <row r="602" spans="5:28">
      <c r="E602" s="55"/>
      <c r="F602" s="55"/>
      <c r="G602" s="21"/>
      <c r="H602" s="21"/>
      <c r="I602" s="21"/>
      <c r="J602" s="21"/>
      <c r="K602" s="21"/>
      <c r="S602" s="114"/>
      <c r="T602" s="22"/>
      <c r="U602" s="21"/>
      <c r="V602" s="21"/>
      <c r="W602" s="20"/>
      <c r="X602" s="120"/>
      <c r="Y602" s="120"/>
      <c r="Z602" s="121"/>
      <c r="AA602" s="120"/>
      <c r="AB602" s="120"/>
    </row>
    <row r="603" spans="5:28">
      <c r="E603" s="55"/>
      <c r="F603" s="55"/>
      <c r="G603" s="21"/>
      <c r="H603" s="21"/>
      <c r="I603" s="21"/>
      <c r="J603" s="21"/>
      <c r="K603" s="21"/>
      <c r="S603" s="114"/>
      <c r="T603" s="22"/>
      <c r="U603" s="21"/>
      <c r="V603" s="21"/>
      <c r="W603" s="20"/>
      <c r="X603" s="120"/>
      <c r="Y603" s="120"/>
      <c r="Z603" s="121"/>
      <c r="AA603" s="120"/>
      <c r="AB603" s="120"/>
    </row>
    <row r="604" spans="5:28">
      <c r="E604" s="55"/>
      <c r="F604" s="55"/>
      <c r="G604" s="21"/>
      <c r="H604" s="21"/>
      <c r="I604" s="21"/>
      <c r="J604" s="21"/>
      <c r="K604" s="21"/>
      <c r="S604" s="114"/>
      <c r="T604" s="22"/>
      <c r="U604" s="21"/>
      <c r="V604" s="21"/>
      <c r="W604" s="20"/>
      <c r="X604" s="120"/>
      <c r="Y604" s="120"/>
      <c r="Z604" s="121"/>
      <c r="AA604" s="120"/>
      <c r="AB604" s="120"/>
    </row>
    <row r="605" spans="5:28">
      <c r="E605" s="55"/>
      <c r="F605" s="55"/>
      <c r="G605" s="21"/>
      <c r="H605" s="21"/>
      <c r="I605" s="21"/>
      <c r="J605" s="21"/>
      <c r="K605" s="21"/>
      <c r="S605" s="114"/>
      <c r="T605" s="22"/>
      <c r="U605" s="21"/>
      <c r="V605" s="21"/>
      <c r="W605" s="20"/>
      <c r="X605" s="120"/>
      <c r="Y605" s="120"/>
      <c r="Z605" s="121"/>
      <c r="AA605" s="120"/>
      <c r="AB605" s="120"/>
    </row>
    <row r="606" spans="5:28">
      <c r="E606" s="55"/>
      <c r="F606" s="55"/>
      <c r="G606" s="21"/>
      <c r="H606" s="21"/>
      <c r="I606" s="21"/>
      <c r="J606" s="21"/>
      <c r="K606" s="21"/>
      <c r="S606" s="114"/>
      <c r="T606" s="22"/>
      <c r="U606" s="21"/>
      <c r="V606" s="21"/>
      <c r="W606" s="20"/>
      <c r="X606" s="120"/>
      <c r="Y606" s="120"/>
      <c r="Z606" s="121"/>
      <c r="AA606" s="120"/>
      <c r="AB606" s="120"/>
    </row>
    <row r="607" spans="5:28">
      <c r="E607" s="55"/>
      <c r="F607" s="55"/>
      <c r="G607" s="21"/>
      <c r="H607" s="21"/>
      <c r="I607" s="21"/>
      <c r="J607" s="21"/>
      <c r="K607" s="21"/>
      <c r="S607" s="114"/>
      <c r="T607" s="22"/>
      <c r="U607" s="21"/>
      <c r="V607" s="21"/>
      <c r="W607" s="20"/>
      <c r="X607" s="120"/>
      <c r="Y607" s="120"/>
      <c r="Z607" s="121"/>
      <c r="AA607" s="120"/>
      <c r="AB607" s="120"/>
    </row>
    <row r="608" spans="5:28">
      <c r="E608" s="55"/>
      <c r="F608" s="55"/>
      <c r="G608" s="21"/>
      <c r="H608" s="21"/>
      <c r="I608" s="21"/>
      <c r="J608" s="21"/>
      <c r="K608" s="21"/>
      <c r="S608" s="114"/>
      <c r="T608" s="22"/>
      <c r="U608" s="21"/>
      <c r="V608" s="21"/>
      <c r="W608" s="20"/>
      <c r="X608" s="120"/>
      <c r="Y608" s="120"/>
      <c r="Z608" s="121"/>
      <c r="AA608" s="120"/>
      <c r="AB608" s="120"/>
    </row>
    <row r="609" spans="5:28">
      <c r="E609" s="55"/>
      <c r="F609" s="55"/>
      <c r="G609" s="21"/>
      <c r="H609" s="21"/>
      <c r="I609" s="21"/>
      <c r="J609" s="21"/>
      <c r="K609" s="21"/>
      <c r="S609" s="114"/>
      <c r="T609" s="22"/>
      <c r="U609" s="21"/>
      <c r="V609" s="21"/>
      <c r="W609" s="20"/>
      <c r="X609" s="120"/>
      <c r="Y609" s="120"/>
      <c r="Z609" s="121"/>
      <c r="AA609" s="120"/>
      <c r="AB609" s="120"/>
    </row>
    <row r="610" spans="5:28">
      <c r="E610" s="55"/>
      <c r="F610" s="55"/>
      <c r="G610" s="21"/>
      <c r="H610" s="21"/>
      <c r="I610" s="21"/>
      <c r="J610" s="21"/>
      <c r="K610" s="21"/>
      <c r="S610" s="114"/>
      <c r="T610" s="22"/>
      <c r="U610" s="21"/>
      <c r="V610" s="21"/>
      <c r="W610" s="20"/>
      <c r="X610" s="120"/>
      <c r="Y610" s="120"/>
      <c r="Z610" s="121"/>
      <c r="AA610" s="120"/>
      <c r="AB610" s="120"/>
    </row>
    <row r="611" spans="5:28">
      <c r="E611" s="55"/>
      <c r="F611" s="55"/>
      <c r="G611" s="21"/>
      <c r="H611" s="21"/>
      <c r="I611" s="21"/>
      <c r="J611" s="21"/>
      <c r="K611" s="21"/>
      <c r="S611" s="114"/>
      <c r="T611" s="22"/>
      <c r="U611" s="21"/>
      <c r="V611" s="21"/>
      <c r="W611" s="20"/>
      <c r="X611" s="120"/>
      <c r="Y611" s="120"/>
      <c r="Z611" s="121"/>
      <c r="AA611" s="120"/>
      <c r="AB611" s="120"/>
    </row>
    <row r="612" spans="5:28">
      <c r="E612" s="55"/>
      <c r="F612" s="55"/>
      <c r="G612" s="21"/>
      <c r="H612" s="21"/>
      <c r="I612" s="21"/>
      <c r="J612" s="21"/>
      <c r="K612" s="21"/>
      <c r="S612" s="114"/>
      <c r="T612" s="22"/>
      <c r="U612" s="21"/>
      <c r="V612" s="21"/>
      <c r="W612" s="20"/>
      <c r="X612" s="120"/>
      <c r="Y612" s="120"/>
      <c r="Z612" s="121"/>
      <c r="AA612" s="120"/>
      <c r="AB612" s="120"/>
    </row>
    <row r="613" spans="5:28">
      <c r="E613" s="55"/>
      <c r="F613" s="55"/>
      <c r="G613" s="21"/>
      <c r="H613" s="21"/>
      <c r="I613" s="21"/>
      <c r="J613" s="21"/>
      <c r="K613" s="21"/>
      <c r="S613" s="114"/>
      <c r="T613" s="22"/>
      <c r="U613" s="21"/>
      <c r="V613" s="21"/>
      <c r="W613" s="20"/>
      <c r="X613" s="120"/>
      <c r="Y613" s="120"/>
      <c r="Z613" s="121"/>
      <c r="AA613" s="120"/>
      <c r="AB613" s="120"/>
    </row>
    <row r="614" spans="5:28">
      <c r="E614" s="55"/>
      <c r="F614" s="55"/>
      <c r="G614" s="21"/>
      <c r="H614" s="21"/>
      <c r="I614" s="21"/>
      <c r="J614" s="21"/>
      <c r="K614" s="21"/>
      <c r="S614" s="114"/>
      <c r="T614" s="22"/>
      <c r="U614" s="21"/>
      <c r="V614" s="21"/>
      <c r="W614" s="20"/>
      <c r="X614" s="120"/>
      <c r="Y614" s="120"/>
      <c r="Z614" s="121"/>
      <c r="AA614" s="120"/>
      <c r="AB614" s="120"/>
    </row>
    <row r="615" spans="5:28">
      <c r="E615" s="55"/>
      <c r="F615" s="55"/>
      <c r="G615" s="21"/>
      <c r="H615" s="21"/>
      <c r="I615" s="21"/>
      <c r="J615" s="21"/>
      <c r="K615" s="21"/>
      <c r="S615" s="114"/>
      <c r="T615" s="22"/>
      <c r="U615" s="21"/>
      <c r="V615" s="21"/>
      <c r="W615" s="20"/>
      <c r="X615" s="120"/>
      <c r="Y615" s="120"/>
      <c r="Z615" s="121"/>
      <c r="AA615" s="120"/>
      <c r="AB615" s="120"/>
    </row>
    <row r="616" spans="5:28">
      <c r="E616" s="55"/>
      <c r="F616" s="55"/>
      <c r="G616" s="21"/>
      <c r="H616" s="21"/>
      <c r="I616" s="21"/>
      <c r="J616" s="21"/>
      <c r="K616" s="21"/>
      <c r="S616" s="114"/>
      <c r="T616" s="22"/>
      <c r="U616" s="21"/>
      <c r="V616" s="21"/>
      <c r="W616" s="20"/>
      <c r="X616" s="120"/>
      <c r="Y616" s="120"/>
      <c r="Z616" s="121"/>
      <c r="AA616" s="120"/>
      <c r="AB616" s="120"/>
    </row>
    <row r="617" spans="5:28">
      <c r="E617" s="55"/>
      <c r="F617" s="55"/>
      <c r="G617" s="21"/>
      <c r="H617" s="21"/>
      <c r="I617" s="21"/>
      <c r="J617" s="21"/>
      <c r="K617" s="21"/>
      <c r="S617" s="114"/>
      <c r="T617" s="22"/>
      <c r="U617" s="21"/>
      <c r="V617" s="21"/>
      <c r="W617" s="20"/>
      <c r="X617" s="120"/>
      <c r="Y617" s="120"/>
      <c r="Z617" s="121"/>
      <c r="AA617" s="120"/>
      <c r="AB617" s="120"/>
    </row>
    <row r="618" spans="5:28">
      <c r="E618" s="55"/>
      <c r="F618" s="55"/>
      <c r="G618" s="21"/>
      <c r="H618" s="21"/>
      <c r="I618" s="21"/>
      <c r="J618" s="21"/>
      <c r="K618" s="21"/>
      <c r="S618" s="114"/>
      <c r="T618" s="22"/>
      <c r="U618" s="21"/>
      <c r="V618" s="21"/>
      <c r="W618" s="20"/>
      <c r="X618" s="120"/>
      <c r="Y618" s="120"/>
      <c r="Z618" s="121"/>
      <c r="AA618" s="120"/>
      <c r="AB618" s="120"/>
    </row>
    <row r="619" spans="5:28">
      <c r="E619" s="55"/>
      <c r="F619" s="55"/>
      <c r="G619" s="21"/>
      <c r="H619" s="21"/>
      <c r="I619" s="21"/>
      <c r="J619" s="21"/>
      <c r="K619" s="21"/>
      <c r="S619" s="114"/>
      <c r="T619" s="22"/>
      <c r="U619" s="21"/>
      <c r="V619" s="21"/>
      <c r="W619" s="20"/>
      <c r="X619" s="120"/>
      <c r="Y619" s="120"/>
      <c r="Z619" s="121"/>
      <c r="AA619" s="120"/>
      <c r="AB619" s="120"/>
    </row>
    <row r="620" spans="5:28">
      <c r="E620" s="55"/>
      <c r="F620" s="55"/>
      <c r="G620" s="21"/>
      <c r="H620" s="21"/>
      <c r="I620" s="21"/>
      <c r="J620" s="21"/>
      <c r="K620" s="21"/>
      <c r="S620" s="114"/>
      <c r="T620" s="22"/>
      <c r="U620" s="21"/>
      <c r="V620" s="21"/>
      <c r="W620" s="20"/>
      <c r="X620" s="120"/>
      <c r="Y620" s="120"/>
      <c r="Z620" s="121"/>
      <c r="AA620" s="120"/>
      <c r="AB620" s="120"/>
    </row>
    <row r="621" spans="5:28">
      <c r="E621" s="55"/>
      <c r="F621" s="55"/>
      <c r="G621" s="21"/>
      <c r="H621" s="21"/>
      <c r="I621" s="21"/>
      <c r="J621" s="21"/>
      <c r="K621" s="21"/>
      <c r="S621" s="114"/>
      <c r="T621" s="22"/>
      <c r="U621" s="21"/>
      <c r="V621" s="21"/>
      <c r="W621" s="20"/>
      <c r="X621" s="116"/>
      <c r="Y621" s="116"/>
      <c r="AA621" s="116"/>
      <c r="AB621" s="116"/>
    </row>
    <row r="622" spans="5:28">
      <c r="E622" s="55"/>
      <c r="F622" s="55"/>
      <c r="G622" s="21"/>
      <c r="H622" s="21"/>
      <c r="I622" s="21"/>
      <c r="J622" s="21"/>
      <c r="K622" s="21"/>
      <c r="S622" s="114"/>
      <c r="T622" s="22"/>
      <c r="U622" s="21"/>
      <c r="V622" s="21"/>
      <c r="W622" s="20"/>
      <c r="X622" s="116"/>
      <c r="Y622" s="116"/>
      <c r="AA622" s="116"/>
      <c r="AB622" s="116"/>
    </row>
    <row r="623" spans="5:28">
      <c r="E623" s="55"/>
      <c r="F623" s="55"/>
      <c r="G623" s="21"/>
      <c r="H623" s="21"/>
      <c r="I623" s="21"/>
      <c r="J623" s="21"/>
      <c r="K623" s="21"/>
      <c r="S623" s="114"/>
      <c r="T623" s="22"/>
      <c r="U623" s="21"/>
      <c r="V623" s="21"/>
      <c r="W623" s="20"/>
      <c r="X623" s="116"/>
      <c r="Y623" s="116"/>
      <c r="AA623" s="116"/>
      <c r="AB623" s="116"/>
    </row>
    <row r="624" spans="5:28">
      <c r="E624" s="55"/>
      <c r="F624" s="55"/>
      <c r="G624" s="21"/>
      <c r="H624" s="21"/>
      <c r="I624" s="21"/>
      <c r="J624" s="21"/>
      <c r="K624" s="21"/>
      <c r="S624" s="114"/>
      <c r="T624" s="22"/>
      <c r="U624" s="21"/>
      <c r="V624" s="21"/>
      <c r="W624" s="20"/>
      <c r="X624" s="116"/>
      <c r="Y624" s="116"/>
      <c r="AA624" s="116"/>
      <c r="AB624" s="116"/>
    </row>
    <row r="625" spans="5:28">
      <c r="E625" s="55"/>
      <c r="F625" s="55"/>
      <c r="G625" s="21"/>
      <c r="H625" s="21"/>
      <c r="I625" s="21"/>
      <c r="J625" s="21"/>
      <c r="K625" s="21"/>
      <c r="S625" s="114"/>
      <c r="T625" s="22"/>
      <c r="U625" s="21"/>
      <c r="V625" s="21"/>
      <c r="W625" s="20"/>
      <c r="X625" s="116"/>
      <c r="Y625" s="116"/>
      <c r="AA625" s="116"/>
      <c r="AB625" s="116"/>
    </row>
    <row r="626" spans="5:28">
      <c r="E626" s="55"/>
      <c r="F626" s="55"/>
      <c r="G626" s="21"/>
      <c r="H626" s="21"/>
      <c r="I626" s="21"/>
      <c r="J626" s="21"/>
      <c r="K626" s="21"/>
      <c r="S626" s="114"/>
      <c r="T626" s="22"/>
      <c r="U626" s="21"/>
      <c r="V626" s="21"/>
      <c r="W626" s="20"/>
      <c r="X626" s="116"/>
      <c r="Y626" s="116"/>
      <c r="AA626" s="116"/>
      <c r="AB626" s="116"/>
    </row>
    <row r="627" spans="5:28">
      <c r="E627" s="55"/>
      <c r="F627" s="55"/>
      <c r="G627" s="21"/>
      <c r="H627" s="21"/>
      <c r="I627" s="21"/>
      <c r="J627" s="21"/>
      <c r="K627" s="21"/>
      <c r="S627" s="114"/>
      <c r="T627" s="22"/>
      <c r="U627" s="21"/>
      <c r="V627" s="21"/>
      <c r="W627" s="20"/>
      <c r="X627" s="116"/>
      <c r="Y627" s="116"/>
      <c r="AA627" s="116"/>
      <c r="AB627" s="116"/>
    </row>
    <row r="628" spans="5:28">
      <c r="E628" s="55"/>
      <c r="F628" s="55"/>
      <c r="G628" s="21"/>
      <c r="H628" s="21"/>
      <c r="I628" s="21"/>
      <c r="J628" s="21"/>
      <c r="K628" s="21"/>
      <c r="S628" s="114"/>
      <c r="T628" s="22"/>
      <c r="U628" s="21"/>
      <c r="V628" s="21"/>
      <c r="W628" s="20"/>
      <c r="X628" s="116"/>
      <c r="Y628" s="116"/>
      <c r="AA628" s="116"/>
      <c r="AB628" s="116"/>
    </row>
    <row r="629" spans="5:28">
      <c r="E629" s="55"/>
      <c r="F629" s="55"/>
      <c r="G629" s="21"/>
      <c r="H629" s="21"/>
      <c r="I629" s="21"/>
      <c r="J629" s="21"/>
      <c r="K629" s="21"/>
      <c r="S629" s="114"/>
      <c r="T629" s="22"/>
      <c r="U629" s="21"/>
      <c r="V629" s="21"/>
      <c r="W629" s="20"/>
      <c r="X629" s="116"/>
      <c r="Y629" s="116"/>
      <c r="AA629" s="116"/>
      <c r="AB629" s="116"/>
    </row>
    <row r="630" spans="5:28">
      <c r="E630" s="55"/>
      <c r="F630" s="55"/>
      <c r="G630" s="21"/>
      <c r="H630" s="21"/>
      <c r="I630" s="21"/>
      <c r="J630" s="21"/>
      <c r="K630" s="21"/>
      <c r="S630" s="114"/>
      <c r="T630" s="22"/>
      <c r="U630" s="21"/>
      <c r="V630" s="21"/>
      <c r="W630" s="20"/>
      <c r="X630" s="116"/>
      <c r="Y630" s="116"/>
      <c r="AA630" s="116"/>
      <c r="AB630" s="116"/>
    </row>
    <row r="631" spans="5:28">
      <c r="E631" s="55"/>
      <c r="F631" s="55"/>
      <c r="G631" s="21"/>
      <c r="H631" s="21"/>
      <c r="I631" s="21"/>
      <c r="J631" s="21"/>
      <c r="K631" s="21"/>
      <c r="S631" s="114"/>
      <c r="T631" s="22"/>
      <c r="U631" s="21"/>
      <c r="V631" s="21"/>
      <c r="W631" s="20"/>
      <c r="X631" s="116"/>
      <c r="Y631" s="116"/>
      <c r="AA631" s="116"/>
      <c r="AB631" s="116"/>
    </row>
    <row r="632" spans="5:28">
      <c r="E632" s="55"/>
      <c r="F632" s="55"/>
      <c r="G632" s="21"/>
      <c r="H632" s="21"/>
      <c r="I632" s="21"/>
      <c r="J632" s="21"/>
      <c r="K632" s="21"/>
      <c r="S632" s="114"/>
      <c r="T632" s="22"/>
      <c r="U632" s="21"/>
      <c r="V632" s="21"/>
      <c r="W632" s="20"/>
      <c r="X632" s="116"/>
      <c r="Y632" s="116"/>
      <c r="AA632" s="116"/>
      <c r="AB632" s="116"/>
    </row>
    <row r="633" spans="5:28">
      <c r="E633" s="55"/>
      <c r="F633" s="55"/>
      <c r="G633" s="21"/>
      <c r="H633" s="21"/>
      <c r="I633" s="21"/>
      <c r="J633" s="21"/>
      <c r="K633" s="21"/>
      <c r="S633" s="114"/>
      <c r="T633" s="22"/>
      <c r="U633" s="21"/>
      <c r="V633" s="21"/>
      <c r="W633" s="20"/>
      <c r="X633" s="116"/>
      <c r="Y633" s="116"/>
      <c r="AA633" s="116"/>
      <c r="AB633" s="116"/>
    </row>
    <row r="634" spans="5:28">
      <c r="E634" s="55"/>
      <c r="F634" s="55"/>
      <c r="G634" s="21"/>
      <c r="H634" s="21"/>
      <c r="I634" s="21"/>
      <c r="J634" s="21"/>
      <c r="K634" s="21"/>
      <c r="S634" s="114"/>
      <c r="T634" s="22"/>
      <c r="U634" s="21"/>
      <c r="V634" s="21"/>
      <c r="W634" s="20"/>
      <c r="X634" s="116"/>
      <c r="Y634" s="116"/>
      <c r="AA634" s="116"/>
      <c r="AB634" s="116"/>
    </row>
    <row r="635" spans="5:28">
      <c r="E635" s="55"/>
      <c r="F635" s="55"/>
      <c r="G635" s="21"/>
      <c r="H635" s="21"/>
      <c r="I635" s="21"/>
      <c r="J635" s="21"/>
      <c r="K635" s="21"/>
      <c r="S635" s="114"/>
      <c r="T635" s="22"/>
      <c r="U635" s="21"/>
      <c r="V635" s="21"/>
      <c r="W635" s="20"/>
      <c r="X635" s="116"/>
      <c r="Y635" s="116"/>
      <c r="AA635" s="116"/>
      <c r="AB635" s="116"/>
    </row>
    <row r="636" spans="5:28">
      <c r="E636" s="55"/>
      <c r="F636" s="55"/>
      <c r="G636" s="21"/>
      <c r="H636" s="21"/>
      <c r="I636" s="21"/>
      <c r="J636" s="21"/>
      <c r="K636" s="21"/>
      <c r="S636" s="114"/>
      <c r="T636" s="22"/>
      <c r="U636" s="21"/>
      <c r="V636" s="21"/>
      <c r="W636" s="20"/>
      <c r="X636" s="116"/>
      <c r="Y636" s="116"/>
      <c r="AA636" s="116"/>
      <c r="AB636" s="116"/>
    </row>
    <row r="637" spans="5:28">
      <c r="E637" s="55"/>
      <c r="F637" s="55"/>
      <c r="G637" s="21"/>
      <c r="H637" s="21"/>
      <c r="I637" s="21"/>
      <c r="J637" s="21"/>
      <c r="K637" s="21"/>
      <c r="S637" s="114"/>
      <c r="T637" s="22"/>
      <c r="U637" s="21"/>
      <c r="V637" s="21"/>
      <c r="W637" s="20"/>
      <c r="X637" s="116"/>
      <c r="Y637" s="116"/>
      <c r="AA637" s="116"/>
      <c r="AB637" s="116"/>
    </row>
    <row r="638" spans="5:28">
      <c r="E638" s="55"/>
      <c r="F638" s="55"/>
      <c r="G638" s="21"/>
      <c r="H638" s="21"/>
      <c r="I638" s="21"/>
      <c r="J638" s="21"/>
      <c r="K638" s="21"/>
      <c r="S638" s="114"/>
      <c r="T638" s="22"/>
      <c r="U638" s="21"/>
      <c r="V638" s="21"/>
      <c r="W638" s="20"/>
      <c r="X638" s="116"/>
      <c r="Y638" s="116"/>
      <c r="AA638" s="116"/>
      <c r="AB638" s="116"/>
    </row>
    <row r="639" spans="5:28">
      <c r="E639" s="55"/>
      <c r="F639" s="55"/>
      <c r="G639" s="21"/>
      <c r="H639" s="21"/>
      <c r="I639" s="21"/>
      <c r="J639" s="21"/>
      <c r="K639" s="21"/>
      <c r="S639" s="114"/>
      <c r="T639" s="22"/>
      <c r="U639" s="21"/>
      <c r="V639" s="21"/>
      <c r="W639" s="20"/>
      <c r="X639" s="116"/>
      <c r="Y639" s="116"/>
      <c r="AA639" s="116"/>
      <c r="AB639" s="116"/>
    </row>
    <row r="640" spans="5:28">
      <c r="E640" s="55"/>
      <c r="F640" s="55"/>
      <c r="G640" s="21"/>
      <c r="H640" s="21"/>
      <c r="I640" s="21"/>
      <c r="J640" s="21"/>
      <c r="K640" s="21"/>
      <c r="S640" s="114"/>
      <c r="T640" s="22"/>
      <c r="U640" s="21"/>
      <c r="V640" s="21"/>
      <c r="W640" s="20"/>
      <c r="X640" s="116"/>
      <c r="Y640" s="116"/>
      <c r="AA640" s="116"/>
      <c r="AB640" s="116"/>
    </row>
    <row r="641" spans="5:28">
      <c r="E641" s="55"/>
      <c r="F641" s="55"/>
      <c r="G641" s="21"/>
      <c r="H641" s="21"/>
      <c r="I641" s="21"/>
      <c r="J641" s="21"/>
      <c r="K641" s="21"/>
      <c r="S641" s="114"/>
      <c r="T641" s="22"/>
      <c r="U641" s="21"/>
      <c r="V641" s="21"/>
      <c r="W641" s="20"/>
      <c r="X641" s="116"/>
      <c r="Y641" s="116"/>
      <c r="AA641" s="116"/>
      <c r="AB641" s="116"/>
    </row>
    <row r="642" spans="5:28">
      <c r="E642" s="55"/>
      <c r="F642" s="55"/>
      <c r="G642" s="21"/>
      <c r="H642" s="21"/>
      <c r="I642" s="21"/>
      <c r="J642" s="21"/>
      <c r="K642" s="21"/>
      <c r="S642" s="114"/>
      <c r="T642" s="22"/>
      <c r="U642" s="21"/>
      <c r="V642" s="21"/>
      <c r="W642" s="20"/>
      <c r="X642" s="116"/>
      <c r="Y642" s="116"/>
      <c r="AA642" s="116"/>
      <c r="AB642" s="116"/>
    </row>
    <row r="643" spans="5:28">
      <c r="E643" s="55"/>
      <c r="F643" s="55"/>
      <c r="G643" s="21"/>
      <c r="H643" s="21"/>
      <c r="I643" s="21"/>
      <c r="J643" s="21"/>
      <c r="K643" s="21"/>
      <c r="S643" s="114"/>
      <c r="T643" s="22"/>
      <c r="U643" s="21"/>
      <c r="V643" s="21"/>
      <c r="W643" s="20"/>
      <c r="X643" s="116"/>
      <c r="Y643" s="116"/>
      <c r="AA643" s="116"/>
      <c r="AB643" s="116"/>
    </row>
    <row r="644" spans="5:28">
      <c r="E644" s="55"/>
      <c r="F644" s="55"/>
      <c r="G644" s="21"/>
      <c r="H644" s="21"/>
      <c r="I644" s="21"/>
      <c r="J644" s="21"/>
      <c r="K644" s="21"/>
      <c r="S644" s="114"/>
      <c r="T644" s="22"/>
      <c r="U644" s="21"/>
      <c r="V644" s="21"/>
      <c r="W644" s="20"/>
      <c r="X644" s="116"/>
      <c r="Y644" s="116"/>
      <c r="AA644" s="116"/>
      <c r="AB644" s="116"/>
    </row>
    <row r="645" spans="5:28">
      <c r="E645" s="55"/>
      <c r="F645" s="55"/>
      <c r="G645" s="21"/>
      <c r="H645" s="21"/>
      <c r="I645" s="21"/>
      <c r="J645" s="21"/>
      <c r="K645" s="21"/>
      <c r="S645" s="114"/>
      <c r="T645" s="22"/>
      <c r="U645" s="21"/>
      <c r="V645" s="21"/>
      <c r="W645" s="20"/>
      <c r="X645" s="116"/>
      <c r="Y645" s="116"/>
      <c r="AA645" s="116"/>
      <c r="AB645" s="116"/>
    </row>
    <row r="646" spans="5:28">
      <c r="E646" s="55"/>
      <c r="F646" s="55"/>
      <c r="G646" s="21"/>
      <c r="H646" s="21"/>
      <c r="I646" s="21"/>
      <c r="J646" s="21"/>
      <c r="K646" s="21"/>
      <c r="S646" s="114"/>
      <c r="T646" s="22"/>
      <c r="U646" s="21"/>
      <c r="V646" s="21"/>
      <c r="W646" s="20"/>
      <c r="X646" s="116"/>
      <c r="Y646" s="116"/>
      <c r="AA646" s="116"/>
      <c r="AB646" s="116"/>
    </row>
    <row r="647" spans="5:28">
      <c r="E647" s="55"/>
      <c r="F647" s="55"/>
      <c r="G647" s="21"/>
      <c r="H647" s="21"/>
      <c r="I647" s="21"/>
      <c r="J647" s="21"/>
      <c r="K647" s="21"/>
      <c r="S647" s="114"/>
      <c r="T647" s="22"/>
      <c r="U647" s="21"/>
      <c r="V647" s="21"/>
      <c r="W647" s="20"/>
      <c r="X647" s="116"/>
      <c r="Y647" s="116"/>
      <c r="AA647" s="116"/>
      <c r="AB647" s="116"/>
    </row>
    <row r="648" spans="5:28">
      <c r="E648" s="55"/>
      <c r="F648" s="55"/>
      <c r="G648" s="21"/>
      <c r="H648" s="21"/>
      <c r="I648" s="21"/>
      <c r="J648" s="21"/>
      <c r="K648" s="21"/>
      <c r="S648" s="114"/>
      <c r="T648" s="22"/>
      <c r="U648" s="21"/>
      <c r="V648" s="21"/>
      <c r="W648" s="20"/>
      <c r="X648" s="116"/>
      <c r="Y648" s="116"/>
      <c r="AA648" s="116"/>
      <c r="AB648" s="116"/>
    </row>
    <row r="649" spans="5:28">
      <c r="E649" s="55"/>
      <c r="F649" s="55"/>
      <c r="G649" s="21"/>
      <c r="H649" s="21"/>
      <c r="I649" s="21"/>
      <c r="J649" s="21"/>
      <c r="K649" s="21"/>
      <c r="S649" s="114"/>
      <c r="T649" s="22"/>
      <c r="U649" s="21"/>
      <c r="V649" s="21"/>
      <c r="W649" s="20"/>
      <c r="X649" s="116"/>
      <c r="Y649" s="116"/>
      <c r="AA649" s="116"/>
      <c r="AB649" s="116"/>
    </row>
    <row r="650" spans="5:28">
      <c r="E650" s="55"/>
      <c r="F650" s="55"/>
      <c r="G650" s="21"/>
      <c r="H650" s="21"/>
      <c r="I650" s="21"/>
      <c r="J650" s="21"/>
      <c r="K650" s="21"/>
      <c r="S650" s="114"/>
      <c r="T650" s="22"/>
      <c r="U650" s="21"/>
      <c r="V650" s="21"/>
      <c r="W650" s="20"/>
      <c r="X650" s="116"/>
      <c r="Y650" s="116"/>
      <c r="AA650" s="116"/>
      <c r="AB650" s="116"/>
    </row>
    <row r="651" spans="5:28">
      <c r="E651" s="55"/>
      <c r="F651" s="55"/>
      <c r="G651" s="21"/>
      <c r="H651" s="21"/>
      <c r="I651" s="21"/>
      <c r="J651" s="21"/>
      <c r="K651" s="21"/>
      <c r="S651" s="114"/>
      <c r="T651" s="22"/>
      <c r="U651" s="21"/>
      <c r="V651" s="21"/>
      <c r="W651" s="20"/>
      <c r="X651" s="116"/>
      <c r="Y651" s="116"/>
      <c r="AA651" s="116"/>
      <c r="AB651" s="116"/>
    </row>
    <row r="652" spans="5:28">
      <c r="E652" s="55"/>
      <c r="F652" s="55"/>
      <c r="G652" s="21"/>
      <c r="H652" s="21"/>
      <c r="I652" s="21"/>
      <c r="J652" s="21"/>
      <c r="K652" s="21"/>
      <c r="S652" s="114"/>
      <c r="T652" s="22"/>
      <c r="U652" s="21"/>
      <c r="V652" s="21"/>
      <c r="W652" s="20"/>
      <c r="X652" s="116"/>
      <c r="Y652" s="116"/>
      <c r="AA652" s="116"/>
      <c r="AB652" s="116"/>
    </row>
    <row r="653" spans="5:28">
      <c r="E653" s="55"/>
      <c r="F653" s="55"/>
      <c r="G653" s="21"/>
      <c r="H653" s="21"/>
      <c r="I653" s="21"/>
      <c r="J653" s="21"/>
      <c r="K653" s="21"/>
      <c r="S653" s="114"/>
      <c r="T653" s="22"/>
      <c r="U653" s="21"/>
      <c r="V653" s="21"/>
      <c r="W653" s="20"/>
      <c r="X653" s="116"/>
      <c r="Y653" s="116"/>
      <c r="AA653" s="116"/>
      <c r="AB653" s="116"/>
    </row>
    <row r="654" spans="5:28">
      <c r="E654" s="55"/>
      <c r="F654" s="55"/>
      <c r="G654" s="21"/>
      <c r="H654" s="21"/>
      <c r="I654" s="21"/>
      <c r="J654" s="21"/>
      <c r="K654" s="21"/>
      <c r="S654" s="114"/>
      <c r="T654" s="22"/>
      <c r="U654" s="21"/>
      <c r="V654" s="21"/>
      <c r="W654" s="20"/>
      <c r="X654" s="116"/>
      <c r="Y654" s="116"/>
      <c r="AA654" s="116"/>
      <c r="AB654" s="116"/>
    </row>
    <row r="655" spans="5:28">
      <c r="E655" s="55"/>
      <c r="F655" s="55"/>
      <c r="G655" s="21"/>
      <c r="H655" s="21"/>
      <c r="I655" s="21"/>
      <c r="J655" s="21"/>
      <c r="K655" s="21"/>
      <c r="S655" s="114"/>
      <c r="T655" s="22"/>
      <c r="U655" s="21"/>
      <c r="V655" s="21"/>
      <c r="W655" s="20"/>
      <c r="X655" s="116"/>
      <c r="Y655" s="116"/>
      <c r="AA655" s="116"/>
      <c r="AB655" s="116"/>
    </row>
    <row r="656" spans="5:28">
      <c r="E656" s="55"/>
      <c r="F656" s="55"/>
      <c r="G656" s="21"/>
      <c r="H656" s="21"/>
      <c r="I656" s="21"/>
      <c r="J656" s="21"/>
      <c r="K656" s="21"/>
      <c r="S656" s="114"/>
      <c r="T656" s="22"/>
      <c r="U656" s="21"/>
      <c r="V656" s="21"/>
      <c r="W656" s="20"/>
      <c r="X656" s="116"/>
      <c r="Y656" s="116"/>
      <c r="AA656" s="116"/>
      <c r="AB656" s="116"/>
    </row>
    <row r="657" spans="5:28">
      <c r="E657" s="55"/>
      <c r="F657" s="55"/>
      <c r="G657" s="21"/>
      <c r="H657" s="21"/>
      <c r="I657" s="21"/>
      <c r="J657" s="21"/>
      <c r="K657" s="21"/>
      <c r="S657" s="114"/>
      <c r="T657" s="22"/>
      <c r="U657" s="21"/>
      <c r="V657" s="21"/>
      <c r="W657" s="20"/>
      <c r="X657" s="116"/>
      <c r="Y657" s="116"/>
      <c r="AA657" s="116"/>
      <c r="AB657" s="116"/>
    </row>
    <row r="658" spans="5:28">
      <c r="E658" s="55"/>
      <c r="F658" s="55"/>
      <c r="G658" s="21"/>
      <c r="H658" s="21"/>
      <c r="I658" s="21"/>
      <c r="J658" s="21"/>
      <c r="K658" s="21"/>
      <c r="S658" s="114"/>
      <c r="T658" s="22"/>
      <c r="U658" s="21"/>
      <c r="V658" s="21"/>
      <c r="W658" s="20"/>
      <c r="X658" s="116"/>
      <c r="Y658" s="116"/>
      <c r="AA658" s="116"/>
      <c r="AB658" s="116"/>
    </row>
    <row r="659" spans="5:28">
      <c r="E659" s="55"/>
      <c r="F659" s="55"/>
      <c r="G659" s="21"/>
      <c r="H659" s="21"/>
      <c r="I659" s="21"/>
      <c r="J659" s="21"/>
      <c r="K659" s="21"/>
      <c r="S659" s="114"/>
      <c r="T659" s="22"/>
      <c r="U659" s="21"/>
      <c r="V659" s="21"/>
      <c r="W659" s="20"/>
      <c r="X659" s="116"/>
      <c r="Y659" s="116"/>
      <c r="AA659" s="116"/>
      <c r="AB659" s="116"/>
    </row>
    <row r="660" spans="5:28">
      <c r="E660" s="55"/>
      <c r="F660" s="55"/>
      <c r="G660" s="21"/>
      <c r="H660" s="21"/>
      <c r="I660" s="21"/>
      <c r="J660" s="21"/>
      <c r="K660" s="21"/>
      <c r="S660" s="114"/>
      <c r="T660" s="22"/>
      <c r="U660" s="21"/>
      <c r="V660" s="21"/>
      <c r="W660" s="20"/>
      <c r="X660" s="116"/>
      <c r="Y660" s="116"/>
      <c r="AA660" s="116"/>
      <c r="AB660" s="116"/>
    </row>
    <row r="661" spans="5:28">
      <c r="E661" s="55"/>
      <c r="F661" s="55"/>
      <c r="G661" s="21"/>
      <c r="H661" s="21"/>
      <c r="I661" s="21"/>
      <c r="J661" s="21"/>
      <c r="K661" s="21"/>
      <c r="S661" s="114"/>
      <c r="T661" s="22"/>
      <c r="U661" s="21"/>
      <c r="V661" s="21"/>
      <c r="W661" s="20"/>
      <c r="X661" s="116"/>
      <c r="Y661" s="116"/>
      <c r="AA661" s="116"/>
      <c r="AB661" s="116"/>
    </row>
    <row r="662" spans="5:28">
      <c r="E662" s="55"/>
      <c r="F662" s="55"/>
      <c r="G662" s="21"/>
      <c r="H662" s="21"/>
      <c r="I662" s="21"/>
      <c r="J662" s="21"/>
      <c r="K662" s="21"/>
      <c r="S662" s="114"/>
      <c r="T662" s="22"/>
      <c r="U662" s="21"/>
      <c r="V662" s="21"/>
      <c r="W662" s="20"/>
      <c r="X662" s="116"/>
      <c r="Y662" s="116"/>
      <c r="AA662" s="116"/>
      <c r="AB662" s="116"/>
    </row>
    <row r="663" spans="5:28">
      <c r="E663" s="55"/>
      <c r="F663" s="55"/>
      <c r="G663" s="21"/>
      <c r="H663" s="21"/>
      <c r="I663" s="21"/>
      <c r="J663" s="21"/>
      <c r="K663" s="21"/>
      <c r="S663" s="114"/>
      <c r="T663" s="22"/>
      <c r="U663" s="21"/>
      <c r="V663" s="21"/>
      <c r="W663" s="20"/>
      <c r="X663" s="116"/>
      <c r="Y663" s="116"/>
      <c r="AA663" s="116"/>
      <c r="AB663" s="116"/>
    </row>
    <row r="664" spans="5:28">
      <c r="E664" s="55"/>
      <c r="F664" s="55"/>
      <c r="G664" s="21"/>
      <c r="H664" s="21"/>
      <c r="I664" s="21"/>
      <c r="J664" s="21"/>
      <c r="K664" s="21"/>
      <c r="S664" s="114"/>
      <c r="T664" s="22"/>
      <c r="U664" s="21"/>
      <c r="V664" s="21"/>
      <c r="W664" s="20"/>
      <c r="X664" s="116"/>
      <c r="Y664" s="116"/>
      <c r="AA664" s="116"/>
      <c r="AB664" s="116"/>
    </row>
    <row r="665" spans="5:28">
      <c r="E665" s="55"/>
      <c r="F665" s="55"/>
      <c r="G665" s="21"/>
      <c r="H665" s="21"/>
      <c r="I665" s="21"/>
      <c r="J665" s="21"/>
      <c r="K665" s="21"/>
      <c r="S665" s="114"/>
      <c r="T665" s="22"/>
      <c r="U665" s="21"/>
      <c r="V665" s="21"/>
      <c r="W665" s="20"/>
      <c r="X665" s="116"/>
      <c r="Y665" s="116"/>
      <c r="AA665" s="116"/>
      <c r="AB665" s="116"/>
    </row>
    <row r="666" spans="5:28">
      <c r="E666" s="55"/>
      <c r="F666" s="55"/>
      <c r="G666" s="21"/>
      <c r="H666" s="21"/>
      <c r="I666" s="21"/>
      <c r="J666" s="21"/>
      <c r="K666" s="21"/>
      <c r="S666" s="114"/>
      <c r="T666" s="22"/>
      <c r="U666" s="21"/>
      <c r="V666" s="21"/>
      <c r="W666" s="20"/>
      <c r="X666" s="116"/>
      <c r="Y666" s="116"/>
      <c r="AA666" s="116"/>
      <c r="AB666" s="116"/>
    </row>
    <row r="667" spans="5:28">
      <c r="E667" s="55"/>
      <c r="F667" s="55"/>
      <c r="G667" s="21"/>
      <c r="H667" s="21"/>
      <c r="I667" s="21"/>
      <c r="J667" s="21"/>
      <c r="K667" s="21"/>
      <c r="S667" s="114"/>
      <c r="T667" s="22"/>
      <c r="U667" s="21"/>
      <c r="V667" s="21"/>
      <c r="W667" s="20"/>
      <c r="X667" s="116"/>
      <c r="Y667" s="116"/>
      <c r="AA667" s="116"/>
      <c r="AB667" s="116"/>
    </row>
    <row r="668" spans="5:28">
      <c r="E668" s="55"/>
      <c r="F668" s="55"/>
      <c r="G668" s="21"/>
      <c r="H668" s="21"/>
      <c r="I668" s="21"/>
      <c r="J668" s="21"/>
      <c r="K668" s="21"/>
      <c r="S668" s="114"/>
      <c r="T668" s="22"/>
      <c r="U668" s="21"/>
      <c r="V668" s="21"/>
      <c r="W668" s="20"/>
      <c r="X668" s="116"/>
      <c r="Y668" s="116"/>
      <c r="AA668" s="116"/>
      <c r="AB668" s="116"/>
    </row>
    <row r="669" spans="5:28">
      <c r="E669" s="55"/>
      <c r="F669" s="55"/>
      <c r="G669" s="21"/>
      <c r="H669" s="21"/>
      <c r="I669" s="21"/>
      <c r="J669" s="21"/>
      <c r="K669" s="21"/>
      <c r="S669" s="114"/>
      <c r="T669" s="22"/>
      <c r="U669" s="21"/>
      <c r="V669" s="21"/>
      <c r="W669" s="20"/>
      <c r="X669" s="116"/>
      <c r="Y669" s="116"/>
      <c r="AA669" s="116"/>
      <c r="AB669" s="116"/>
    </row>
    <row r="670" spans="5:28">
      <c r="E670" s="55"/>
      <c r="F670" s="55"/>
      <c r="G670" s="21"/>
      <c r="H670" s="21"/>
      <c r="I670" s="21"/>
      <c r="J670" s="21"/>
      <c r="K670" s="21"/>
      <c r="S670" s="114"/>
      <c r="T670" s="22"/>
      <c r="U670" s="21"/>
      <c r="V670" s="21"/>
      <c r="W670" s="20"/>
      <c r="X670" s="116"/>
      <c r="Y670" s="116"/>
      <c r="AA670" s="116"/>
      <c r="AB670" s="116"/>
    </row>
    <row r="671" spans="5:28">
      <c r="E671" s="55"/>
      <c r="F671" s="55"/>
      <c r="G671" s="21"/>
      <c r="H671" s="21"/>
      <c r="I671" s="21"/>
      <c r="J671" s="21"/>
      <c r="K671" s="21"/>
      <c r="S671" s="114"/>
      <c r="T671" s="22"/>
      <c r="U671" s="21"/>
      <c r="V671" s="21"/>
      <c r="W671" s="20"/>
      <c r="X671" s="116"/>
      <c r="Y671" s="116"/>
      <c r="AA671" s="116"/>
      <c r="AB671" s="116"/>
    </row>
    <row r="672" spans="5:28">
      <c r="E672" s="55"/>
      <c r="F672" s="55"/>
      <c r="G672" s="21"/>
      <c r="H672" s="21"/>
      <c r="I672" s="21"/>
      <c r="J672" s="21"/>
      <c r="K672" s="21"/>
      <c r="S672" s="114"/>
      <c r="T672" s="22"/>
      <c r="U672" s="21"/>
      <c r="V672" s="21"/>
      <c r="W672" s="20"/>
      <c r="X672" s="116"/>
      <c r="Y672" s="116"/>
      <c r="AA672" s="116"/>
      <c r="AB672" s="116"/>
    </row>
    <row r="673" spans="5:28">
      <c r="E673" s="55"/>
      <c r="F673" s="55"/>
      <c r="G673" s="21"/>
      <c r="H673" s="21"/>
      <c r="I673" s="21"/>
      <c r="J673" s="21"/>
      <c r="K673" s="21"/>
      <c r="S673" s="114"/>
      <c r="T673" s="22"/>
      <c r="U673" s="21"/>
      <c r="V673" s="21"/>
      <c r="W673" s="20"/>
      <c r="X673" s="116"/>
      <c r="Y673" s="116"/>
      <c r="AA673" s="116"/>
      <c r="AB673" s="116"/>
    </row>
    <row r="674" spans="5:28">
      <c r="E674" s="55"/>
      <c r="F674" s="55"/>
      <c r="G674" s="21"/>
      <c r="H674" s="21"/>
      <c r="I674" s="21"/>
      <c r="J674" s="21"/>
      <c r="K674" s="21"/>
      <c r="S674" s="114"/>
      <c r="T674" s="22"/>
      <c r="U674" s="21"/>
      <c r="V674" s="21"/>
      <c r="W674" s="20"/>
      <c r="X674" s="116"/>
      <c r="Y674" s="116"/>
      <c r="AA674" s="116"/>
      <c r="AB674" s="116"/>
    </row>
    <row r="675" spans="5:28">
      <c r="S675" s="114"/>
      <c r="T675" s="114"/>
      <c r="U675" s="20"/>
      <c r="V675" s="20"/>
      <c r="W675" s="20"/>
    </row>
    <row r="676" spans="5:28">
      <c r="S676" s="114"/>
      <c r="T676" s="114"/>
      <c r="U676" s="20"/>
      <c r="V676" s="20"/>
      <c r="W676" s="20"/>
    </row>
    <row r="677" spans="5:28">
      <c r="S677" s="114"/>
      <c r="T677" s="114"/>
      <c r="U677" s="20"/>
      <c r="V677" s="20"/>
      <c r="W677" s="20"/>
    </row>
    <row r="678" spans="5:28">
      <c r="S678" s="114"/>
      <c r="T678" s="114"/>
      <c r="U678" s="20"/>
      <c r="V678" s="20"/>
      <c r="W678" s="20"/>
    </row>
    <row r="679" spans="5:28">
      <c r="S679" s="114"/>
      <c r="T679" s="114"/>
      <c r="U679" s="20"/>
      <c r="V679" s="20"/>
      <c r="W679" s="20"/>
    </row>
    <row r="680" spans="5:28">
      <c r="S680" s="114"/>
      <c r="T680" s="114"/>
      <c r="U680" s="20"/>
      <c r="V680" s="20"/>
      <c r="W680" s="20"/>
    </row>
    <row r="681" spans="5:28">
      <c r="S681" s="114"/>
      <c r="T681" s="114"/>
      <c r="U681" s="20"/>
      <c r="V681" s="20"/>
      <c r="W681" s="20"/>
    </row>
    <row r="682" spans="5:28">
      <c r="S682" s="114"/>
      <c r="T682" s="114"/>
      <c r="U682" s="20"/>
      <c r="V682" s="20"/>
      <c r="W682" s="20"/>
    </row>
    <row r="683" spans="5:28">
      <c r="S683" s="114"/>
      <c r="T683" s="114"/>
      <c r="U683" s="20"/>
      <c r="V683" s="20"/>
      <c r="W683" s="20"/>
    </row>
    <row r="684" spans="5:28">
      <c r="S684" s="114"/>
      <c r="T684" s="114"/>
      <c r="U684" s="20"/>
      <c r="V684" s="20"/>
      <c r="W684" s="20"/>
    </row>
    <row r="685" spans="5:28">
      <c r="S685" s="114"/>
      <c r="T685" s="114"/>
      <c r="U685" s="20"/>
      <c r="V685" s="20"/>
      <c r="W685" s="20"/>
    </row>
    <row r="686" spans="5:28">
      <c r="S686" s="114"/>
      <c r="T686" s="114"/>
      <c r="U686" s="20"/>
      <c r="V686" s="20"/>
      <c r="W686" s="20"/>
    </row>
    <row r="687" spans="5:28">
      <c r="S687" s="114"/>
      <c r="T687" s="114"/>
      <c r="U687" s="20"/>
      <c r="V687" s="20"/>
      <c r="W687" s="20"/>
    </row>
    <row r="688" spans="5:28">
      <c r="S688" s="114"/>
      <c r="T688" s="114"/>
      <c r="U688" s="20"/>
      <c r="V688" s="20"/>
      <c r="W688" s="20"/>
    </row>
    <row r="689" spans="19:23">
      <c r="S689" s="114"/>
      <c r="T689" s="114"/>
      <c r="U689" s="20"/>
      <c r="V689" s="20"/>
      <c r="W689" s="20"/>
    </row>
    <row r="690" spans="19:23">
      <c r="S690" s="114"/>
      <c r="T690" s="114"/>
      <c r="U690" s="20"/>
      <c r="V690" s="20"/>
      <c r="W690" s="20"/>
    </row>
    <row r="691" spans="19:23">
      <c r="S691" s="114"/>
      <c r="T691" s="114"/>
      <c r="U691" s="20"/>
      <c r="V691" s="20"/>
      <c r="W691" s="20"/>
    </row>
    <row r="692" spans="19:23">
      <c r="S692" s="114"/>
      <c r="T692" s="114"/>
      <c r="U692" s="20"/>
      <c r="V692" s="20"/>
      <c r="W692" s="20"/>
    </row>
    <row r="693" spans="19:23">
      <c r="S693" s="114"/>
      <c r="T693" s="114"/>
      <c r="U693" s="20"/>
      <c r="V693" s="20"/>
      <c r="W693" s="20"/>
    </row>
    <row r="694" spans="19:23">
      <c r="S694" s="114"/>
      <c r="T694" s="114"/>
      <c r="U694" s="20"/>
      <c r="V694" s="20"/>
      <c r="W694" s="20"/>
    </row>
    <row r="695" spans="19:23">
      <c r="S695" s="114"/>
      <c r="T695" s="114"/>
      <c r="U695" s="20"/>
      <c r="V695" s="20"/>
      <c r="W695" s="20"/>
    </row>
    <row r="696" spans="19:23">
      <c r="S696" s="114"/>
      <c r="T696" s="114"/>
      <c r="U696" s="20"/>
      <c r="V696" s="20"/>
      <c r="W696" s="20"/>
    </row>
    <row r="697" spans="19:23">
      <c r="S697" s="114"/>
      <c r="T697" s="114"/>
      <c r="U697" s="20"/>
      <c r="V697" s="20"/>
      <c r="W697" s="20"/>
    </row>
    <row r="698" spans="19:23">
      <c r="S698" s="114"/>
      <c r="T698" s="114"/>
      <c r="U698" s="20"/>
      <c r="V698" s="20"/>
      <c r="W698" s="20"/>
    </row>
    <row r="699" spans="19:23">
      <c r="S699" s="114"/>
      <c r="T699" s="114"/>
      <c r="U699" s="20"/>
      <c r="V699" s="20"/>
      <c r="W699" s="20"/>
    </row>
    <row r="700" spans="19:23">
      <c r="S700" s="114"/>
      <c r="T700" s="114"/>
      <c r="U700" s="20"/>
      <c r="V700" s="20"/>
      <c r="W700" s="20"/>
    </row>
    <row r="701" spans="19:23">
      <c r="S701" s="114"/>
      <c r="T701" s="114"/>
      <c r="U701" s="20"/>
      <c r="V701" s="20"/>
      <c r="W701" s="20"/>
    </row>
    <row r="702" spans="19:23">
      <c r="S702" s="114"/>
      <c r="T702" s="114"/>
      <c r="U702" s="20"/>
      <c r="V702" s="20"/>
      <c r="W702" s="20"/>
    </row>
    <row r="703" spans="19:23">
      <c r="S703" s="114"/>
      <c r="T703" s="114"/>
      <c r="U703" s="20"/>
      <c r="V703" s="20"/>
      <c r="W703" s="20"/>
    </row>
    <row r="704" spans="19:23">
      <c r="S704" s="114"/>
      <c r="T704" s="114"/>
      <c r="U704" s="20"/>
      <c r="V704" s="20"/>
      <c r="W704" s="20"/>
    </row>
    <row r="705" spans="19:23">
      <c r="S705" s="114"/>
      <c r="T705" s="114"/>
      <c r="U705" s="20"/>
      <c r="V705" s="20"/>
      <c r="W705" s="20"/>
    </row>
    <row r="706" spans="19:23">
      <c r="S706" s="114"/>
      <c r="T706" s="114"/>
      <c r="U706" s="20"/>
      <c r="V706" s="20"/>
      <c r="W706" s="20"/>
    </row>
    <row r="707" spans="19:23">
      <c r="S707" s="114"/>
      <c r="T707" s="114"/>
      <c r="U707" s="20"/>
      <c r="V707" s="20"/>
      <c r="W707" s="20"/>
    </row>
    <row r="708" spans="19:23">
      <c r="S708" s="114"/>
      <c r="T708" s="114"/>
      <c r="U708" s="20"/>
      <c r="V708" s="20"/>
      <c r="W708" s="20"/>
    </row>
    <row r="709" spans="19:23">
      <c r="S709" s="114"/>
      <c r="T709" s="114"/>
      <c r="U709" s="20"/>
      <c r="V709" s="20"/>
      <c r="W709" s="20"/>
    </row>
    <row r="710" spans="19:23">
      <c r="S710" s="114"/>
      <c r="T710" s="114"/>
      <c r="U710" s="20"/>
      <c r="V710" s="20"/>
      <c r="W710" s="20"/>
    </row>
    <row r="711" spans="19:23">
      <c r="S711" s="114"/>
      <c r="T711" s="114"/>
      <c r="U711" s="20"/>
      <c r="V711" s="20"/>
      <c r="W711" s="20"/>
    </row>
    <row r="712" spans="19:23">
      <c r="S712" s="114"/>
      <c r="T712" s="114"/>
      <c r="U712" s="20"/>
      <c r="V712" s="20"/>
      <c r="W712" s="20"/>
    </row>
    <row r="713" spans="19:23">
      <c r="S713" s="114"/>
      <c r="T713" s="114"/>
      <c r="U713" s="20"/>
      <c r="V713" s="20"/>
      <c r="W713" s="20"/>
    </row>
    <row r="714" spans="19:23">
      <c r="S714" s="114"/>
      <c r="T714" s="114"/>
      <c r="U714" s="20"/>
      <c r="V714" s="20"/>
      <c r="W714" s="20"/>
    </row>
    <row r="715" spans="19:23">
      <c r="S715" s="114"/>
      <c r="T715" s="114"/>
      <c r="U715" s="20"/>
      <c r="V715" s="20"/>
      <c r="W715" s="20"/>
    </row>
    <row r="716" spans="19:23">
      <c r="S716" s="114"/>
      <c r="T716" s="114"/>
      <c r="U716" s="20"/>
      <c r="V716" s="20"/>
      <c r="W716" s="20"/>
    </row>
    <row r="717" spans="19:23">
      <c r="S717" s="114"/>
      <c r="T717" s="114"/>
      <c r="U717" s="20"/>
      <c r="V717" s="20"/>
      <c r="W717" s="20"/>
    </row>
    <row r="718" spans="19:23">
      <c r="S718" s="114"/>
      <c r="T718" s="114"/>
      <c r="U718" s="20"/>
      <c r="V718" s="20"/>
      <c r="W718" s="20"/>
    </row>
    <row r="719" spans="19:23">
      <c r="S719" s="114"/>
      <c r="T719" s="114"/>
      <c r="U719" s="20"/>
      <c r="V719" s="20"/>
      <c r="W719" s="20"/>
    </row>
    <row r="720" spans="19:23">
      <c r="S720" s="114"/>
      <c r="T720" s="114"/>
      <c r="U720" s="20"/>
      <c r="V720" s="20"/>
      <c r="W720" s="20"/>
    </row>
    <row r="721" spans="19:23">
      <c r="S721" s="114"/>
      <c r="T721" s="114"/>
      <c r="U721" s="20"/>
      <c r="V721" s="20"/>
      <c r="W721" s="20"/>
    </row>
    <row r="722" spans="19:23">
      <c r="S722" s="114"/>
      <c r="T722" s="114"/>
      <c r="U722" s="20"/>
      <c r="V722" s="20"/>
      <c r="W722" s="20"/>
    </row>
    <row r="723" spans="19:23">
      <c r="S723" s="114"/>
      <c r="T723" s="114"/>
      <c r="U723" s="20"/>
      <c r="V723" s="20"/>
      <c r="W723" s="20"/>
    </row>
    <row r="724" spans="19:23">
      <c r="S724" s="114"/>
      <c r="T724" s="114"/>
      <c r="U724" s="20"/>
      <c r="V724" s="20"/>
      <c r="W724" s="20"/>
    </row>
    <row r="725" spans="19:23">
      <c r="S725" s="114"/>
      <c r="T725" s="114"/>
      <c r="U725" s="20"/>
      <c r="V725" s="20"/>
      <c r="W725" s="20"/>
    </row>
    <row r="726" spans="19:23">
      <c r="S726" s="114"/>
      <c r="T726" s="114"/>
      <c r="U726" s="20"/>
      <c r="V726" s="20"/>
      <c r="W726" s="20"/>
    </row>
    <row r="727" spans="19:23">
      <c r="S727" s="114"/>
      <c r="T727" s="114"/>
      <c r="U727" s="20"/>
      <c r="V727" s="20"/>
      <c r="W727" s="20"/>
    </row>
    <row r="728" spans="19:23">
      <c r="S728" s="114"/>
      <c r="T728" s="114"/>
      <c r="U728" s="20"/>
      <c r="V728" s="20"/>
      <c r="W728" s="20"/>
    </row>
    <row r="729" spans="19:23">
      <c r="S729" s="114"/>
      <c r="T729" s="114"/>
      <c r="U729" s="20"/>
      <c r="V729" s="20"/>
      <c r="W729" s="20"/>
    </row>
    <row r="730" spans="19:23">
      <c r="S730" s="114"/>
      <c r="T730" s="114"/>
      <c r="U730" s="20"/>
      <c r="V730" s="20"/>
      <c r="W730" s="20"/>
    </row>
    <row r="731" spans="19:23">
      <c r="S731" s="114"/>
      <c r="T731" s="114"/>
      <c r="U731" s="20"/>
      <c r="V731" s="20"/>
      <c r="W731" s="20"/>
    </row>
    <row r="732" spans="19:23">
      <c r="S732" s="114"/>
      <c r="T732" s="114"/>
      <c r="U732" s="20"/>
      <c r="V732" s="20"/>
      <c r="W732" s="20"/>
    </row>
    <row r="733" spans="19:23">
      <c r="S733" s="114"/>
      <c r="T733" s="114"/>
      <c r="U733" s="20"/>
      <c r="V733" s="20"/>
      <c r="W733" s="20"/>
    </row>
    <row r="734" spans="19:23">
      <c r="S734" s="114"/>
      <c r="T734" s="114"/>
      <c r="U734" s="20"/>
      <c r="V734" s="20"/>
      <c r="W734" s="20"/>
    </row>
    <row r="735" spans="19:23">
      <c r="S735" s="114"/>
      <c r="T735" s="114"/>
      <c r="U735" s="20"/>
      <c r="V735" s="20"/>
      <c r="W735" s="20"/>
    </row>
    <row r="736" spans="19:23">
      <c r="S736" s="114"/>
      <c r="T736" s="114"/>
      <c r="U736" s="20"/>
      <c r="V736" s="20"/>
      <c r="W736" s="20"/>
    </row>
    <row r="737" spans="19:23">
      <c r="S737" s="114"/>
      <c r="T737" s="114"/>
      <c r="U737" s="20"/>
      <c r="V737" s="20"/>
      <c r="W737" s="20"/>
    </row>
    <row r="738" spans="19:23">
      <c r="S738" s="114"/>
      <c r="T738" s="114"/>
      <c r="U738" s="20"/>
      <c r="V738" s="20"/>
      <c r="W738" s="20"/>
    </row>
    <row r="739" spans="19:23">
      <c r="S739" s="114"/>
      <c r="T739" s="114"/>
      <c r="U739" s="20"/>
      <c r="V739" s="20"/>
      <c r="W739" s="20"/>
    </row>
    <row r="740" spans="19:23">
      <c r="S740" s="114"/>
      <c r="T740" s="114"/>
      <c r="U740" s="20"/>
      <c r="V740" s="20"/>
      <c r="W740" s="20"/>
    </row>
    <row r="741" spans="19:23">
      <c r="S741" s="114"/>
      <c r="T741" s="114"/>
      <c r="U741" s="20"/>
      <c r="V741" s="20"/>
      <c r="W741" s="20"/>
    </row>
    <row r="742" spans="19:23">
      <c r="S742" s="114"/>
      <c r="T742" s="114"/>
      <c r="U742" s="20"/>
      <c r="V742" s="20"/>
      <c r="W742" s="20"/>
    </row>
    <row r="743" spans="19:23">
      <c r="S743" s="114"/>
      <c r="T743" s="114"/>
      <c r="U743" s="20"/>
      <c r="V743" s="20"/>
      <c r="W743" s="20"/>
    </row>
    <row r="744" spans="19:23">
      <c r="S744" s="114"/>
      <c r="T744" s="114"/>
      <c r="U744" s="20"/>
      <c r="V744" s="20"/>
      <c r="W744" s="20"/>
    </row>
    <row r="745" spans="19:23">
      <c r="S745" s="114"/>
      <c r="T745" s="114"/>
      <c r="U745" s="20"/>
      <c r="V745" s="20"/>
      <c r="W745" s="20"/>
    </row>
    <row r="746" spans="19:23">
      <c r="S746" s="114"/>
      <c r="T746" s="114"/>
      <c r="U746" s="20"/>
      <c r="V746" s="20"/>
      <c r="W746" s="20"/>
    </row>
    <row r="747" spans="19:23">
      <c r="S747" s="114"/>
      <c r="T747" s="114"/>
      <c r="U747" s="20"/>
      <c r="V747" s="20"/>
      <c r="W747" s="20"/>
    </row>
    <row r="748" spans="19:23">
      <c r="S748" s="114"/>
      <c r="T748" s="114"/>
      <c r="U748" s="20"/>
      <c r="V748" s="20"/>
      <c r="W748" s="20"/>
    </row>
    <row r="749" spans="19:23">
      <c r="S749" s="114"/>
      <c r="T749" s="114"/>
      <c r="U749" s="20"/>
      <c r="V749" s="20"/>
      <c r="W749" s="20"/>
    </row>
    <row r="750" spans="19:23">
      <c r="S750" s="114"/>
      <c r="T750" s="114"/>
      <c r="U750" s="20"/>
      <c r="V750" s="20"/>
      <c r="W750" s="20"/>
    </row>
    <row r="751" spans="19:23">
      <c r="S751" s="114"/>
      <c r="T751" s="114"/>
      <c r="U751" s="20"/>
      <c r="V751" s="20"/>
      <c r="W751" s="20"/>
    </row>
    <row r="752" spans="19:23">
      <c r="S752" s="114"/>
      <c r="T752" s="114"/>
      <c r="U752" s="20"/>
      <c r="V752" s="20"/>
      <c r="W752" s="20"/>
    </row>
    <row r="753" spans="19:23">
      <c r="S753" s="114"/>
      <c r="T753" s="114"/>
      <c r="U753" s="20"/>
      <c r="V753" s="20"/>
      <c r="W753" s="20"/>
    </row>
    <row r="754" spans="19:23">
      <c r="S754" s="114"/>
      <c r="T754" s="114"/>
      <c r="U754" s="20"/>
      <c r="V754" s="20"/>
      <c r="W754" s="20"/>
    </row>
    <row r="755" spans="19:23">
      <c r="S755" s="114"/>
      <c r="T755" s="114"/>
      <c r="U755" s="20"/>
      <c r="V755" s="20"/>
      <c r="W755" s="20"/>
    </row>
    <row r="756" spans="19:23">
      <c r="S756" s="114"/>
      <c r="T756" s="114"/>
      <c r="U756" s="20"/>
      <c r="V756" s="20"/>
      <c r="W756" s="20"/>
    </row>
    <row r="757" spans="19:23">
      <c r="S757" s="114"/>
      <c r="T757" s="114"/>
      <c r="U757" s="20"/>
      <c r="V757" s="20"/>
      <c r="W757" s="20"/>
    </row>
    <row r="758" spans="19:23">
      <c r="S758" s="114"/>
      <c r="T758" s="114"/>
      <c r="U758" s="20"/>
      <c r="V758" s="20"/>
      <c r="W758" s="20"/>
    </row>
    <row r="759" spans="19:23">
      <c r="S759" s="114"/>
      <c r="T759" s="114"/>
      <c r="U759" s="20"/>
      <c r="V759" s="20"/>
      <c r="W759" s="20"/>
    </row>
    <row r="760" spans="19:23">
      <c r="S760" s="114"/>
      <c r="T760" s="114"/>
      <c r="U760" s="20"/>
      <c r="V760" s="20"/>
      <c r="W760" s="20"/>
    </row>
    <row r="761" spans="19:23">
      <c r="S761" s="114"/>
      <c r="T761" s="114"/>
      <c r="U761" s="20"/>
      <c r="V761" s="20"/>
      <c r="W761" s="20"/>
    </row>
    <row r="762" spans="19:23">
      <c r="S762" s="114"/>
      <c r="T762" s="114"/>
      <c r="U762" s="20"/>
      <c r="V762" s="20"/>
      <c r="W762" s="20"/>
    </row>
    <row r="763" spans="19:23">
      <c r="S763" s="114"/>
      <c r="T763" s="114"/>
      <c r="U763" s="20"/>
      <c r="V763" s="20"/>
      <c r="W763" s="20"/>
    </row>
    <row r="764" spans="19:23">
      <c r="S764" s="114"/>
      <c r="T764" s="114"/>
      <c r="U764" s="20"/>
      <c r="V764" s="20"/>
      <c r="W764" s="20"/>
    </row>
    <row r="765" spans="19:23">
      <c r="S765" s="114"/>
      <c r="T765" s="114"/>
      <c r="U765" s="20"/>
      <c r="V765" s="20"/>
      <c r="W765" s="20"/>
    </row>
    <row r="766" spans="19:23">
      <c r="S766" s="114"/>
      <c r="T766" s="114"/>
      <c r="U766" s="20"/>
      <c r="V766" s="20"/>
      <c r="W766" s="20"/>
    </row>
    <row r="767" spans="19:23">
      <c r="S767" s="114"/>
      <c r="T767" s="114"/>
      <c r="U767" s="20"/>
      <c r="V767" s="20"/>
      <c r="W767" s="20"/>
    </row>
    <row r="768" spans="19:23">
      <c r="S768" s="114"/>
      <c r="T768" s="114"/>
      <c r="U768" s="20"/>
      <c r="V768" s="20"/>
      <c r="W768" s="20"/>
    </row>
    <row r="769" spans="19:23">
      <c r="S769" s="114"/>
      <c r="T769" s="114"/>
      <c r="U769" s="20"/>
      <c r="V769" s="20"/>
      <c r="W769" s="20"/>
    </row>
    <row r="770" spans="19:23">
      <c r="S770" s="114"/>
      <c r="T770" s="114"/>
      <c r="U770" s="20"/>
      <c r="V770" s="20"/>
      <c r="W770" s="20"/>
    </row>
    <row r="771" spans="19:23">
      <c r="S771" s="114"/>
      <c r="T771" s="114"/>
      <c r="U771" s="20"/>
      <c r="V771" s="20"/>
      <c r="W771" s="20"/>
    </row>
    <row r="772" spans="19:23">
      <c r="S772" s="114"/>
      <c r="T772" s="114"/>
      <c r="U772" s="20"/>
      <c r="V772" s="20"/>
      <c r="W772" s="20"/>
    </row>
    <row r="773" spans="19:23">
      <c r="S773" s="114"/>
      <c r="T773" s="114"/>
      <c r="U773" s="20"/>
      <c r="V773" s="20"/>
      <c r="W773" s="20"/>
    </row>
    <row r="774" spans="19:23">
      <c r="S774" s="114"/>
      <c r="T774" s="114"/>
      <c r="U774" s="20"/>
      <c r="V774" s="20"/>
      <c r="W774" s="20"/>
    </row>
    <row r="775" spans="19:23">
      <c r="S775" s="114"/>
      <c r="T775" s="114"/>
      <c r="U775" s="20"/>
      <c r="V775" s="20"/>
      <c r="W775" s="20"/>
    </row>
    <row r="776" spans="19:23">
      <c r="S776" s="114"/>
      <c r="T776" s="114"/>
      <c r="U776" s="20"/>
      <c r="V776" s="20"/>
      <c r="W776" s="20"/>
    </row>
    <row r="777" spans="19:23">
      <c r="S777" s="114"/>
      <c r="T777" s="114"/>
      <c r="U777" s="20"/>
      <c r="V777" s="20"/>
      <c r="W777" s="20"/>
    </row>
    <row r="778" spans="19:23">
      <c r="S778" s="114"/>
      <c r="T778" s="114"/>
      <c r="U778" s="20"/>
      <c r="V778" s="20"/>
      <c r="W778" s="20"/>
    </row>
    <row r="779" spans="19:23">
      <c r="S779" s="114"/>
      <c r="T779" s="114"/>
      <c r="U779" s="20"/>
      <c r="V779" s="20"/>
      <c r="W779" s="20"/>
    </row>
    <row r="780" spans="19:23">
      <c r="S780" s="114"/>
      <c r="T780" s="114"/>
      <c r="U780" s="20"/>
      <c r="V780" s="20"/>
      <c r="W780" s="20"/>
    </row>
    <row r="781" spans="19:23">
      <c r="S781" s="114"/>
      <c r="T781" s="114"/>
      <c r="U781" s="20"/>
      <c r="V781" s="20"/>
      <c r="W781" s="20"/>
    </row>
    <row r="782" spans="19:23">
      <c r="S782" s="114"/>
      <c r="T782" s="114"/>
      <c r="U782" s="20"/>
      <c r="V782" s="20"/>
      <c r="W782" s="20"/>
    </row>
    <row r="783" spans="19:23">
      <c r="S783" s="114"/>
      <c r="T783" s="114"/>
      <c r="U783" s="20"/>
      <c r="V783" s="20"/>
      <c r="W783" s="20"/>
    </row>
    <row r="784" spans="19:23">
      <c r="S784" s="114"/>
      <c r="T784" s="114"/>
      <c r="U784" s="20"/>
      <c r="V784" s="20"/>
      <c r="W784" s="20"/>
    </row>
    <row r="785" spans="19:23">
      <c r="S785" s="114"/>
      <c r="T785" s="114"/>
      <c r="U785" s="20"/>
      <c r="V785" s="20"/>
      <c r="W785" s="20"/>
    </row>
    <row r="786" spans="19:23">
      <c r="S786" s="114"/>
      <c r="T786" s="114"/>
      <c r="U786" s="20"/>
      <c r="V786" s="20"/>
      <c r="W786" s="20"/>
    </row>
    <row r="787" spans="19:23">
      <c r="S787" s="114"/>
      <c r="T787" s="114"/>
      <c r="U787" s="20"/>
      <c r="V787" s="20"/>
      <c r="W787" s="20"/>
    </row>
    <row r="788" spans="19:23">
      <c r="S788" s="114"/>
      <c r="T788" s="114"/>
      <c r="U788" s="20"/>
      <c r="V788" s="20"/>
      <c r="W788" s="20"/>
    </row>
    <row r="789" spans="19:23">
      <c r="S789" s="114"/>
      <c r="T789" s="114"/>
      <c r="U789" s="20"/>
      <c r="V789" s="20"/>
      <c r="W789" s="20"/>
    </row>
    <row r="790" spans="19:23">
      <c r="S790" s="114"/>
      <c r="T790" s="114"/>
      <c r="U790" s="20"/>
      <c r="V790" s="20"/>
      <c r="W790" s="20"/>
    </row>
    <row r="791" spans="19:23">
      <c r="S791" s="114"/>
      <c r="T791" s="114"/>
      <c r="U791" s="20"/>
      <c r="V791" s="20"/>
      <c r="W791" s="20"/>
    </row>
    <row r="792" spans="19:23">
      <c r="S792" s="114"/>
      <c r="T792" s="114"/>
      <c r="U792" s="20"/>
      <c r="V792" s="20"/>
      <c r="W792" s="20"/>
    </row>
    <row r="793" spans="19:23">
      <c r="S793" s="114"/>
      <c r="T793" s="114"/>
      <c r="U793" s="20"/>
      <c r="V793" s="20"/>
      <c r="W793" s="20"/>
    </row>
    <row r="794" spans="19:23">
      <c r="S794" s="114"/>
      <c r="T794" s="114"/>
      <c r="U794" s="20"/>
      <c r="V794" s="20"/>
      <c r="W794" s="20"/>
    </row>
    <row r="795" spans="19:23">
      <c r="S795" s="114"/>
      <c r="T795" s="114"/>
      <c r="U795" s="20"/>
      <c r="V795" s="20"/>
      <c r="W795" s="20"/>
    </row>
    <row r="796" spans="19:23">
      <c r="S796" s="114"/>
      <c r="T796" s="114"/>
      <c r="U796" s="20"/>
      <c r="V796" s="20"/>
      <c r="W796" s="20"/>
    </row>
    <row r="797" spans="19:23">
      <c r="S797" s="114"/>
      <c r="T797" s="114"/>
      <c r="U797" s="20"/>
      <c r="V797" s="20"/>
      <c r="W797" s="20"/>
    </row>
    <row r="798" spans="19:23">
      <c r="S798" s="114"/>
      <c r="T798" s="114"/>
      <c r="U798" s="20"/>
      <c r="V798" s="20"/>
      <c r="W798" s="20"/>
    </row>
    <row r="799" spans="19:23">
      <c r="S799" s="114"/>
      <c r="T799" s="114"/>
      <c r="U799" s="20"/>
      <c r="V799" s="20"/>
      <c r="W799" s="20"/>
    </row>
    <row r="800" spans="19:23">
      <c r="S800" s="114"/>
      <c r="T800" s="114"/>
      <c r="U800" s="20"/>
      <c r="V800" s="20"/>
      <c r="W800" s="20"/>
    </row>
    <row r="801" spans="19:23">
      <c r="S801" s="114"/>
      <c r="T801" s="114"/>
      <c r="U801" s="20"/>
      <c r="V801" s="20"/>
      <c r="W801" s="20"/>
    </row>
    <row r="802" spans="19:23">
      <c r="S802" s="114"/>
      <c r="T802" s="114"/>
      <c r="U802" s="20"/>
      <c r="V802" s="20"/>
      <c r="W802" s="20"/>
    </row>
    <row r="803" spans="19:23">
      <c r="S803" s="114"/>
      <c r="T803" s="114"/>
      <c r="U803" s="20"/>
      <c r="V803" s="20"/>
      <c r="W803" s="20"/>
    </row>
    <row r="804" spans="19:23">
      <c r="S804" s="114"/>
      <c r="T804" s="114"/>
      <c r="U804" s="20"/>
      <c r="V804" s="20"/>
      <c r="W804" s="20"/>
    </row>
    <row r="805" spans="19:23">
      <c r="S805" s="114"/>
      <c r="T805" s="114"/>
      <c r="U805" s="20"/>
      <c r="V805" s="20"/>
      <c r="W805" s="20"/>
    </row>
    <row r="806" spans="19:23">
      <c r="S806" s="114"/>
      <c r="T806" s="114"/>
      <c r="U806" s="20"/>
      <c r="V806" s="20"/>
      <c r="W806" s="20"/>
    </row>
    <row r="807" spans="19:23">
      <c r="S807" s="114"/>
      <c r="T807" s="114"/>
      <c r="U807" s="20"/>
      <c r="V807" s="20"/>
      <c r="W807" s="20"/>
    </row>
    <row r="808" spans="19:23">
      <c r="S808" s="114"/>
      <c r="T808" s="114"/>
      <c r="U808" s="20"/>
      <c r="V808" s="20"/>
      <c r="W808" s="20"/>
    </row>
    <row r="809" spans="19:23">
      <c r="S809" s="114"/>
      <c r="T809" s="114"/>
      <c r="U809" s="20"/>
      <c r="V809" s="20"/>
      <c r="W809" s="20"/>
    </row>
    <row r="810" spans="19:23">
      <c r="S810" s="114"/>
      <c r="T810" s="114"/>
      <c r="U810" s="20"/>
      <c r="V810" s="20"/>
      <c r="W810" s="20"/>
    </row>
    <row r="811" spans="19:23">
      <c r="S811" s="114"/>
      <c r="T811" s="114"/>
      <c r="U811" s="20"/>
      <c r="V811" s="20"/>
      <c r="W811" s="20"/>
    </row>
    <row r="812" spans="19:23">
      <c r="S812" s="114"/>
      <c r="T812" s="114"/>
      <c r="U812" s="20"/>
      <c r="V812" s="20"/>
      <c r="W812" s="20"/>
    </row>
    <row r="813" spans="19:23">
      <c r="S813" s="114"/>
      <c r="T813" s="114"/>
      <c r="U813" s="20"/>
      <c r="V813" s="20"/>
      <c r="W813" s="20"/>
    </row>
    <row r="814" spans="19:23">
      <c r="S814" s="114"/>
      <c r="T814" s="114"/>
      <c r="U814" s="20"/>
      <c r="V814" s="20"/>
      <c r="W814" s="20"/>
    </row>
    <row r="815" spans="19:23">
      <c r="S815" s="114"/>
      <c r="T815" s="114"/>
      <c r="U815" s="20"/>
      <c r="V815" s="20"/>
      <c r="W815" s="20"/>
    </row>
    <row r="816" spans="19:23">
      <c r="S816" s="114"/>
      <c r="T816" s="114"/>
      <c r="U816" s="20"/>
      <c r="V816" s="20"/>
      <c r="W816" s="20"/>
    </row>
    <row r="817" spans="19:23">
      <c r="S817" s="114"/>
      <c r="T817" s="114"/>
      <c r="U817" s="20"/>
      <c r="V817" s="20"/>
      <c r="W817" s="20"/>
    </row>
    <row r="818" spans="19:23">
      <c r="S818" s="114"/>
      <c r="T818" s="114"/>
      <c r="U818" s="20"/>
      <c r="V818" s="20"/>
      <c r="W818" s="20"/>
    </row>
    <row r="819" spans="19:23">
      <c r="S819" s="114"/>
      <c r="T819" s="114"/>
      <c r="U819" s="20"/>
      <c r="V819" s="20"/>
      <c r="W819" s="20"/>
    </row>
    <row r="820" spans="19:23">
      <c r="S820" s="114"/>
      <c r="T820" s="114"/>
      <c r="U820" s="20"/>
      <c r="V820" s="20"/>
      <c r="W820" s="20"/>
    </row>
    <row r="821" spans="19:23">
      <c r="S821" s="114"/>
      <c r="T821" s="114"/>
      <c r="U821" s="20"/>
      <c r="V821" s="20"/>
      <c r="W821" s="20"/>
    </row>
    <row r="822" spans="19:23">
      <c r="S822" s="114"/>
      <c r="T822" s="114"/>
      <c r="U822" s="20"/>
      <c r="V822" s="20"/>
      <c r="W822" s="20"/>
    </row>
    <row r="823" spans="19:23">
      <c r="S823" s="114"/>
      <c r="T823" s="114"/>
      <c r="U823" s="20"/>
      <c r="V823" s="20"/>
      <c r="W823" s="20"/>
    </row>
    <row r="824" spans="19:23">
      <c r="S824" s="114"/>
      <c r="T824" s="114"/>
      <c r="U824" s="20"/>
      <c r="V824" s="20"/>
      <c r="W824" s="20"/>
    </row>
    <row r="825" spans="19:23">
      <c r="S825" s="114"/>
      <c r="T825" s="114"/>
      <c r="U825" s="20"/>
      <c r="V825" s="20"/>
      <c r="W825" s="20"/>
    </row>
    <row r="826" spans="19:23">
      <c r="S826" s="114"/>
      <c r="T826" s="114"/>
      <c r="U826" s="20"/>
      <c r="V826" s="20"/>
      <c r="W826" s="20"/>
    </row>
    <row r="827" spans="19:23">
      <c r="S827" s="114"/>
      <c r="T827" s="114"/>
      <c r="U827" s="20"/>
      <c r="V827" s="20"/>
      <c r="W827" s="20"/>
    </row>
    <row r="828" spans="19:23">
      <c r="S828" s="114"/>
      <c r="T828" s="114"/>
      <c r="U828" s="20"/>
      <c r="V828" s="20"/>
      <c r="W828" s="20"/>
    </row>
    <row r="829" spans="19:23">
      <c r="S829" s="114"/>
      <c r="T829" s="114"/>
      <c r="U829" s="20"/>
      <c r="V829" s="20"/>
      <c r="W829" s="20"/>
    </row>
    <row r="830" spans="19:23">
      <c r="S830" s="114"/>
      <c r="T830" s="114"/>
      <c r="U830" s="20"/>
      <c r="V830" s="20"/>
      <c r="W830" s="20"/>
    </row>
    <row r="831" spans="19:23">
      <c r="S831" s="114"/>
      <c r="T831" s="114"/>
      <c r="U831" s="20"/>
      <c r="V831" s="20"/>
      <c r="W831" s="20"/>
    </row>
    <row r="832" spans="19:23">
      <c r="S832" s="114"/>
      <c r="T832" s="114"/>
      <c r="U832" s="20"/>
      <c r="V832" s="20"/>
      <c r="W832" s="20"/>
    </row>
    <row r="833" spans="19:23">
      <c r="S833" s="114"/>
      <c r="T833" s="114"/>
      <c r="U833" s="20"/>
      <c r="V833" s="20"/>
      <c r="W833" s="20"/>
    </row>
    <row r="834" spans="19:23">
      <c r="S834" s="114"/>
      <c r="T834" s="114"/>
      <c r="U834" s="20"/>
      <c r="V834" s="20"/>
      <c r="W834" s="20"/>
    </row>
    <row r="835" spans="19:23">
      <c r="S835" s="114"/>
      <c r="T835" s="114"/>
      <c r="U835" s="20"/>
      <c r="V835" s="20"/>
      <c r="W835" s="20"/>
    </row>
    <row r="836" spans="19:23">
      <c r="S836" s="114"/>
      <c r="T836" s="114"/>
      <c r="U836" s="20"/>
      <c r="V836" s="20"/>
      <c r="W836" s="20"/>
    </row>
    <row r="837" spans="19:23">
      <c r="S837" s="114"/>
      <c r="T837" s="114"/>
      <c r="U837" s="20"/>
      <c r="V837" s="20"/>
      <c r="W837" s="20"/>
    </row>
    <row r="838" spans="19:23">
      <c r="S838" s="114"/>
      <c r="T838" s="114"/>
      <c r="U838" s="20"/>
      <c r="V838" s="20"/>
      <c r="W838" s="20"/>
    </row>
    <row r="839" spans="19:23">
      <c r="S839" s="114"/>
      <c r="T839" s="114"/>
      <c r="U839" s="20"/>
      <c r="V839" s="20"/>
      <c r="W839" s="20"/>
    </row>
    <row r="840" spans="19:23">
      <c r="S840" s="114"/>
      <c r="T840" s="114"/>
      <c r="U840" s="20"/>
      <c r="V840" s="20"/>
      <c r="W840" s="20"/>
    </row>
    <row r="841" spans="19:23">
      <c r="S841" s="114"/>
      <c r="T841" s="114"/>
      <c r="U841" s="20"/>
      <c r="V841" s="20"/>
      <c r="W841" s="20"/>
    </row>
    <row r="842" spans="19:23">
      <c r="S842" s="114"/>
      <c r="T842" s="114"/>
      <c r="U842" s="20"/>
      <c r="V842" s="20"/>
      <c r="W842" s="20"/>
    </row>
    <row r="843" spans="19:23">
      <c r="S843" s="114"/>
      <c r="T843" s="114"/>
      <c r="U843" s="20"/>
      <c r="V843" s="20"/>
      <c r="W843" s="20"/>
    </row>
    <row r="844" spans="19:23">
      <c r="S844" s="114"/>
      <c r="T844" s="114"/>
      <c r="U844" s="20"/>
      <c r="V844" s="20"/>
      <c r="W844" s="20"/>
    </row>
    <row r="845" spans="19:23">
      <c r="S845" s="114"/>
      <c r="T845" s="114"/>
      <c r="U845" s="20"/>
      <c r="V845" s="20"/>
      <c r="W845" s="20"/>
    </row>
    <row r="846" spans="19:23">
      <c r="S846" s="114"/>
      <c r="T846" s="114"/>
      <c r="U846" s="20"/>
      <c r="V846" s="20"/>
      <c r="W846" s="20"/>
    </row>
    <row r="847" spans="19:23">
      <c r="S847" s="114"/>
      <c r="T847" s="114"/>
      <c r="U847" s="20"/>
      <c r="V847" s="20"/>
      <c r="W847" s="20"/>
    </row>
    <row r="848" spans="19:23">
      <c r="S848" s="114"/>
      <c r="T848" s="114"/>
      <c r="U848" s="20"/>
      <c r="V848" s="20"/>
      <c r="W848" s="20"/>
    </row>
    <row r="849" spans="19:23">
      <c r="S849" s="114"/>
      <c r="T849" s="114"/>
      <c r="U849" s="20"/>
      <c r="V849" s="20"/>
      <c r="W849" s="20"/>
    </row>
    <row r="850" spans="19:23">
      <c r="S850" s="114"/>
      <c r="T850" s="114"/>
      <c r="U850" s="20"/>
      <c r="V850" s="20"/>
      <c r="W850" s="20"/>
    </row>
    <row r="851" spans="19:23">
      <c r="S851" s="114"/>
      <c r="T851" s="114"/>
      <c r="U851" s="20"/>
      <c r="V851" s="20"/>
      <c r="W851" s="20"/>
    </row>
    <row r="852" spans="19:23">
      <c r="S852" s="114"/>
      <c r="T852" s="114"/>
      <c r="U852" s="20"/>
      <c r="V852" s="20"/>
      <c r="W852" s="20"/>
    </row>
    <row r="853" spans="19:23">
      <c r="S853" s="114"/>
      <c r="T853" s="114"/>
      <c r="U853" s="20"/>
      <c r="V853" s="20"/>
      <c r="W853" s="20"/>
    </row>
    <row r="854" spans="19:23">
      <c r="S854" s="114"/>
      <c r="T854" s="114"/>
      <c r="U854" s="20"/>
      <c r="V854" s="20"/>
      <c r="W854" s="20"/>
    </row>
    <row r="855" spans="19:23">
      <c r="S855" s="114"/>
      <c r="T855" s="114"/>
      <c r="U855" s="20"/>
      <c r="V855" s="20"/>
      <c r="W855" s="20"/>
    </row>
    <row r="856" spans="19:23">
      <c r="S856" s="114"/>
      <c r="T856" s="114"/>
      <c r="U856" s="20"/>
      <c r="V856" s="20"/>
      <c r="W856" s="20"/>
    </row>
    <row r="857" spans="19:23">
      <c r="S857" s="114"/>
      <c r="T857" s="114"/>
      <c r="U857" s="20"/>
      <c r="V857" s="20"/>
      <c r="W857" s="20"/>
    </row>
    <row r="858" spans="19:23">
      <c r="S858" s="114"/>
      <c r="T858" s="114"/>
      <c r="U858" s="20"/>
      <c r="V858" s="20"/>
      <c r="W858" s="20"/>
    </row>
    <row r="859" spans="19:23">
      <c r="S859" s="114"/>
      <c r="T859" s="114"/>
      <c r="U859" s="20"/>
      <c r="V859" s="20"/>
      <c r="W859" s="20"/>
    </row>
    <row r="860" spans="19:23">
      <c r="S860" s="114"/>
      <c r="T860" s="114"/>
      <c r="U860" s="20"/>
      <c r="V860" s="20"/>
      <c r="W860" s="20"/>
    </row>
    <row r="861" spans="19:23">
      <c r="S861" s="114"/>
      <c r="T861" s="114"/>
      <c r="U861" s="20"/>
      <c r="V861" s="20"/>
      <c r="W861" s="20"/>
    </row>
    <row r="862" spans="19:23">
      <c r="S862" s="114"/>
      <c r="T862" s="114"/>
      <c r="U862" s="20"/>
      <c r="V862" s="20"/>
      <c r="W862" s="20"/>
    </row>
    <row r="863" spans="19:23">
      <c r="S863" s="114"/>
      <c r="T863" s="114"/>
      <c r="U863" s="20"/>
      <c r="V863" s="20"/>
      <c r="W863" s="20"/>
    </row>
    <row r="864" spans="19:23">
      <c r="S864" s="114"/>
      <c r="T864" s="114"/>
      <c r="U864" s="20"/>
      <c r="V864" s="20"/>
      <c r="W864" s="20"/>
    </row>
    <row r="865" spans="19:23">
      <c r="S865" s="114"/>
      <c r="T865" s="114"/>
      <c r="U865" s="20"/>
      <c r="V865" s="20"/>
      <c r="W865" s="20"/>
    </row>
    <row r="866" spans="19:23">
      <c r="S866" s="114"/>
      <c r="T866" s="114"/>
      <c r="U866" s="20"/>
      <c r="V866" s="20"/>
      <c r="W866" s="20"/>
    </row>
    <row r="867" spans="19:23">
      <c r="S867" s="114"/>
      <c r="T867" s="114"/>
      <c r="U867" s="20"/>
      <c r="V867" s="20"/>
      <c r="W867" s="20"/>
    </row>
    <row r="868" spans="19:23">
      <c r="S868" s="114"/>
      <c r="T868" s="114"/>
      <c r="U868" s="20"/>
      <c r="V868" s="20"/>
      <c r="W868" s="20"/>
    </row>
    <row r="869" spans="19:23">
      <c r="S869" s="114"/>
      <c r="T869" s="114"/>
      <c r="U869" s="20"/>
      <c r="V869" s="20"/>
      <c r="W869" s="20"/>
    </row>
    <row r="870" spans="19:23">
      <c r="S870" s="114"/>
      <c r="T870" s="114"/>
      <c r="U870" s="20"/>
      <c r="V870" s="20"/>
      <c r="W870" s="20"/>
    </row>
    <row r="871" spans="19:23">
      <c r="S871" s="114"/>
      <c r="T871" s="114"/>
      <c r="U871" s="20"/>
      <c r="V871" s="20"/>
      <c r="W871" s="20"/>
    </row>
    <row r="872" spans="19:23">
      <c r="S872" s="114"/>
      <c r="T872" s="114"/>
      <c r="U872" s="20"/>
      <c r="V872" s="20"/>
      <c r="W872" s="20"/>
    </row>
    <row r="873" spans="19:23">
      <c r="S873" s="114"/>
      <c r="T873" s="114"/>
      <c r="U873" s="20"/>
      <c r="V873" s="20"/>
      <c r="W873" s="20"/>
    </row>
    <row r="874" spans="19:23">
      <c r="S874" s="114"/>
      <c r="T874" s="114"/>
      <c r="U874" s="20"/>
      <c r="V874" s="20"/>
      <c r="W874" s="20"/>
    </row>
    <row r="875" spans="19:23">
      <c r="S875" s="114"/>
      <c r="T875" s="114"/>
      <c r="U875" s="20"/>
      <c r="V875" s="20"/>
      <c r="W875" s="20"/>
    </row>
    <row r="876" spans="19:23">
      <c r="S876" s="114"/>
      <c r="T876" s="114"/>
      <c r="U876" s="20"/>
      <c r="V876" s="20"/>
      <c r="W876" s="20"/>
    </row>
    <row r="877" spans="19:23">
      <c r="S877" s="114"/>
      <c r="T877" s="114"/>
      <c r="U877" s="20"/>
      <c r="V877" s="20"/>
      <c r="W877" s="20"/>
    </row>
    <row r="878" spans="19:23">
      <c r="S878" s="114"/>
      <c r="T878" s="114"/>
      <c r="U878" s="20"/>
      <c r="V878" s="20"/>
      <c r="W878" s="20"/>
    </row>
    <row r="879" spans="19:23">
      <c r="S879" s="114"/>
      <c r="T879" s="114"/>
      <c r="U879" s="20"/>
      <c r="V879" s="20"/>
      <c r="W879" s="20"/>
    </row>
    <row r="880" spans="19:23">
      <c r="S880" s="114"/>
      <c r="T880" s="114"/>
      <c r="U880" s="20"/>
      <c r="V880" s="20"/>
      <c r="W880" s="20"/>
    </row>
    <row r="881" spans="19:23">
      <c r="S881" s="114"/>
      <c r="T881" s="114"/>
      <c r="U881" s="20"/>
      <c r="V881" s="20"/>
      <c r="W881" s="20"/>
    </row>
    <row r="882" spans="19:23">
      <c r="S882" s="114"/>
      <c r="T882" s="114"/>
      <c r="U882" s="20"/>
      <c r="V882" s="20"/>
      <c r="W882" s="20"/>
    </row>
    <row r="883" spans="19:23">
      <c r="S883" s="114"/>
      <c r="T883" s="114"/>
      <c r="U883" s="20"/>
      <c r="V883" s="20"/>
      <c r="W883" s="20"/>
    </row>
    <row r="884" spans="19:23">
      <c r="S884" s="114"/>
      <c r="T884" s="114"/>
      <c r="U884" s="20"/>
      <c r="V884" s="20"/>
      <c r="W884" s="20"/>
    </row>
    <row r="885" spans="19:23">
      <c r="S885" s="114"/>
      <c r="T885" s="114"/>
      <c r="U885" s="20"/>
      <c r="V885" s="20"/>
      <c r="W885" s="20"/>
    </row>
    <row r="886" spans="19:23">
      <c r="S886" s="114"/>
      <c r="T886" s="114"/>
      <c r="U886" s="20"/>
      <c r="V886" s="20"/>
      <c r="W886" s="20"/>
    </row>
    <row r="887" spans="19:23">
      <c r="S887" s="114"/>
      <c r="T887" s="114"/>
      <c r="U887" s="20"/>
      <c r="V887" s="20"/>
      <c r="W887" s="20"/>
    </row>
    <row r="888" spans="19:23">
      <c r="S888" s="114"/>
      <c r="T888" s="114"/>
      <c r="U888" s="20"/>
      <c r="V888" s="20"/>
      <c r="W888" s="20"/>
    </row>
    <row r="889" spans="19:23">
      <c r="S889" s="114"/>
      <c r="T889" s="114"/>
      <c r="U889" s="20"/>
      <c r="V889" s="20"/>
      <c r="W889" s="20"/>
    </row>
    <row r="890" spans="19:23">
      <c r="S890" s="114"/>
      <c r="T890" s="114"/>
      <c r="U890" s="20"/>
      <c r="V890" s="20"/>
      <c r="W890" s="20"/>
    </row>
    <row r="891" spans="19:23">
      <c r="S891" s="114"/>
      <c r="T891" s="114"/>
      <c r="U891" s="20"/>
      <c r="V891" s="20"/>
      <c r="W891" s="20"/>
    </row>
    <row r="892" spans="19:23">
      <c r="S892" s="114"/>
      <c r="T892" s="114"/>
      <c r="U892" s="20"/>
      <c r="V892" s="20"/>
      <c r="W892" s="20"/>
    </row>
    <row r="893" spans="19:23">
      <c r="S893" s="114"/>
      <c r="T893" s="114"/>
      <c r="U893" s="20"/>
      <c r="V893" s="20"/>
      <c r="W893" s="20"/>
    </row>
    <row r="894" spans="19:23">
      <c r="S894" s="114"/>
      <c r="T894" s="114"/>
      <c r="U894" s="20"/>
      <c r="V894" s="20"/>
      <c r="W894" s="20"/>
    </row>
    <row r="895" spans="19:23">
      <c r="S895" s="114"/>
      <c r="T895" s="114"/>
      <c r="U895" s="20"/>
      <c r="V895" s="20"/>
      <c r="W895" s="20"/>
    </row>
    <row r="896" spans="19:23">
      <c r="S896" s="114"/>
      <c r="T896" s="114"/>
      <c r="U896" s="20"/>
      <c r="V896" s="20"/>
      <c r="W896" s="20"/>
    </row>
    <row r="897" spans="19:23">
      <c r="S897" s="114"/>
      <c r="T897" s="114"/>
      <c r="U897" s="20"/>
      <c r="V897" s="20"/>
      <c r="W897" s="20"/>
    </row>
    <row r="898" spans="19:23">
      <c r="S898" s="114"/>
      <c r="T898" s="114"/>
      <c r="U898" s="20"/>
      <c r="V898" s="20"/>
      <c r="W898" s="20"/>
    </row>
    <row r="899" spans="19:23">
      <c r="S899" s="114"/>
      <c r="T899" s="114"/>
      <c r="U899" s="20"/>
      <c r="V899" s="20"/>
      <c r="W899" s="20"/>
    </row>
    <row r="900" spans="19:23">
      <c r="S900" s="114"/>
      <c r="T900" s="114"/>
      <c r="U900" s="20"/>
      <c r="V900" s="20"/>
      <c r="W900" s="20"/>
    </row>
    <row r="901" spans="19:23">
      <c r="S901" s="114"/>
      <c r="T901" s="114"/>
      <c r="U901" s="20"/>
      <c r="V901" s="20"/>
      <c r="W901" s="20"/>
    </row>
    <row r="902" spans="19:23">
      <c r="S902" s="114"/>
      <c r="T902" s="114"/>
      <c r="U902" s="20"/>
      <c r="V902" s="20"/>
      <c r="W902" s="20"/>
    </row>
    <row r="903" spans="19:23">
      <c r="S903" s="114"/>
      <c r="T903" s="114"/>
      <c r="U903" s="20"/>
      <c r="V903" s="20"/>
      <c r="W903" s="20"/>
    </row>
    <row r="904" spans="19:23">
      <c r="S904" s="114"/>
      <c r="T904" s="114"/>
      <c r="U904" s="20"/>
      <c r="V904" s="20"/>
      <c r="W904" s="20"/>
    </row>
    <row r="905" spans="19:23">
      <c r="S905" s="114"/>
      <c r="T905" s="114"/>
      <c r="U905" s="20"/>
      <c r="V905" s="20"/>
      <c r="W905" s="20"/>
    </row>
    <row r="906" spans="19:23">
      <c r="S906" s="114"/>
      <c r="T906" s="114"/>
      <c r="U906" s="20"/>
      <c r="V906" s="20"/>
      <c r="W906" s="20"/>
    </row>
    <row r="907" spans="19:23">
      <c r="S907" s="114"/>
      <c r="T907" s="114"/>
      <c r="U907" s="20"/>
      <c r="V907" s="20"/>
      <c r="W907" s="20"/>
    </row>
    <row r="908" spans="19:23">
      <c r="S908" s="114"/>
      <c r="T908" s="114"/>
      <c r="U908" s="20"/>
      <c r="V908" s="20"/>
      <c r="W908" s="20"/>
    </row>
    <row r="909" spans="19:23">
      <c r="S909" s="114"/>
      <c r="T909" s="114"/>
      <c r="U909" s="20"/>
      <c r="V909" s="20"/>
      <c r="W909" s="20"/>
    </row>
    <row r="910" spans="19:23">
      <c r="S910" s="114"/>
      <c r="T910" s="114"/>
      <c r="U910" s="20"/>
      <c r="V910" s="20"/>
      <c r="W910" s="20"/>
    </row>
    <row r="911" spans="19:23">
      <c r="S911" s="114"/>
      <c r="T911" s="114"/>
      <c r="U911" s="20"/>
      <c r="V911" s="20"/>
      <c r="W911" s="20"/>
    </row>
    <row r="912" spans="19:23">
      <c r="S912" s="114"/>
      <c r="T912" s="114"/>
      <c r="U912" s="20"/>
      <c r="V912" s="20"/>
      <c r="W912" s="20"/>
    </row>
    <row r="913" spans="19:23">
      <c r="S913" s="114"/>
      <c r="T913" s="114"/>
      <c r="U913" s="20"/>
      <c r="V913" s="20"/>
      <c r="W913" s="20"/>
    </row>
    <row r="914" spans="19:23">
      <c r="S914" s="114"/>
      <c r="T914" s="114"/>
      <c r="U914" s="20"/>
      <c r="V914" s="20"/>
      <c r="W914" s="20"/>
    </row>
    <row r="915" spans="19:23">
      <c r="S915" s="114"/>
      <c r="T915" s="114"/>
      <c r="U915" s="20"/>
      <c r="V915" s="20"/>
      <c r="W915" s="20"/>
    </row>
    <row r="916" spans="19:23">
      <c r="S916" s="114"/>
      <c r="T916" s="114"/>
      <c r="U916" s="20"/>
      <c r="V916" s="20"/>
      <c r="W916" s="20"/>
    </row>
    <row r="917" spans="19:23">
      <c r="S917" s="114"/>
      <c r="T917" s="114"/>
      <c r="U917" s="20"/>
      <c r="V917" s="20"/>
      <c r="W917" s="20"/>
    </row>
    <row r="918" spans="19:23">
      <c r="S918" s="114"/>
      <c r="T918" s="114"/>
      <c r="U918" s="20"/>
      <c r="V918" s="20"/>
      <c r="W918" s="20"/>
    </row>
    <row r="919" spans="19:23">
      <c r="S919" s="114"/>
      <c r="T919" s="114"/>
      <c r="U919" s="20"/>
      <c r="V919" s="20"/>
      <c r="W919" s="20"/>
    </row>
    <row r="920" spans="19:23">
      <c r="S920" s="114"/>
      <c r="T920" s="114"/>
      <c r="U920" s="20"/>
      <c r="V920" s="20"/>
      <c r="W920" s="20"/>
    </row>
    <row r="921" spans="19:23">
      <c r="S921" s="114"/>
      <c r="T921" s="114"/>
      <c r="U921" s="20"/>
      <c r="V921" s="20"/>
      <c r="W921" s="20"/>
    </row>
    <row r="922" spans="19:23">
      <c r="S922" s="114"/>
      <c r="T922" s="114"/>
      <c r="U922" s="20"/>
      <c r="V922" s="20"/>
      <c r="W922" s="20"/>
    </row>
    <row r="923" spans="19:23">
      <c r="S923" s="114"/>
      <c r="T923" s="114"/>
      <c r="U923" s="20"/>
      <c r="V923" s="20"/>
      <c r="W923" s="20"/>
    </row>
    <row r="924" spans="19:23">
      <c r="S924" s="114"/>
      <c r="T924" s="114"/>
      <c r="U924" s="20"/>
      <c r="V924" s="20"/>
      <c r="W924" s="20"/>
    </row>
    <row r="925" spans="19:23">
      <c r="S925" s="114"/>
      <c r="T925" s="114"/>
      <c r="U925" s="20"/>
      <c r="V925" s="20"/>
      <c r="W925" s="20"/>
    </row>
    <row r="926" spans="19:23">
      <c r="S926" s="114"/>
      <c r="T926" s="114"/>
      <c r="U926" s="20"/>
      <c r="V926" s="20"/>
      <c r="W926" s="20"/>
    </row>
    <row r="927" spans="19:23">
      <c r="S927" s="114"/>
      <c r="T927" s="114"/>
      <c r="U927" s="20"/>
      <c r="V927" s="20"/>
      <c r="W927" s="20"/>
    </row>
    <row r="928" spans="19:23">
      <c r="S928" s="114"/>
      <c r="T928" s="114"/>
      <c r="U928" s="20"/>
      <c r="V928" s="20"/>
      <c r="W928" s="20"/>
    </row>
    <row r="929" spans="19:23">
      <c r="S929" s="114"/>
      <c r="T929" s="114"/>
      <c r="U929" s="20"/>
      <c r="V929" s="20"/>
      <c r="W929" s="20"/>
    </row>
    <row r="930" spans="19:23">
      <c r="S930" s="114"/>
      <c r="T930" s="114"/>
      <c r="U930" s="20"/>
      <c r="V930" s="20"/>
      <c r="W930" s="20"/>
    </row>
    <row r="931" spans="19:23">
      <c r="S931" s="114"/>
      <c r="T931" s="114"/>
      <c r="U931" s="20"/>
      <c r="V931" s="20"/>
      <c r="W931" s="20"/>
    </row>
    <row r="932" spans="19:23">
      <c r="S932" s="114"/>
      <c r="T932" s="114"/>
      <c r="U932" s="20"/>
      <c r="V932" s="20"/>
      <c r="W932" s="20"/>
    </row>
    <row r="933" spans="19:23">
      <c r="S933" s="114"/>
      <c r="T933" s="114"/>
      <c r="U933" s="20"/>
      <c r="V933" s="20"/>
      <c r="W933" s="20"/>
    </row>
    <row r="934" spans="19:23">
      <c r="S934" s="114"/>
      <c r="T934" s="114"/>
      <c r="U934" s="20"/>
      <c r="V934" s="20"/>
      <c r="W934" s="20"/>
    </row>
    <row r="935" spans="19:23">
      <c r="S935" s="114"/>
      <c r="T935" s="114"/>
      <c r="U935" s="20"/>
      <c r="V935" s="20"/>
      <c r="W935" s="20"/>
    </row>
    <row r="936" spans="19:23">
      <c r="S936" s="114"/>
      <c r="T936" s="114"/>
      <c r="U936" s="20"/>
      <c r="V936" s="20"/>
      <c r="W936" s="20"/>
    </row>
    <row r="937" spans="19:23">
      <c r="S937" s="114"/>
      <c r="T937" s="114"/>
      <c r="U937" s="20"/>
      <c r="V937" s="20"/>
      <c r="W937" s="20"/>
    </row>
    <row r="938" spans="19:23">
      <c r="S938" s="114"/>
      <c r="T938" s="114"/>
      <c r="U938" s="20"/>
      <c r="V938" s="20"/>
      <c r="W938" s="20"/>
    </row>
    <row r="939" spans="19:23">
      <c r="S939" s="114"/>
      <c r="T939" s="114"/>
      <c r="U939" s="20"/>
      <c r="V939" s="20"/>
      <c r="W939" s="20"/>
    </row>
    <row r="940" spans="19:23">
      <c r="S940" s="114"/>
      <c r="T940" s="114"/>
      <c r="U940" s="20"/>
      <c r="V940" s="20"/>
      <c r="W940" s="20"/>
    </row>
    <row r="941" spans="19:23">
      <c r="S941" s="114"/>
      <c r="T941" s="114"/>
      <c r="U941" s="20"/>
      <c r="V941" s="20"/>
      <c r="W941" s="20"/>
    </row>
    <row r="942" spans="19:23">
      <c r="S942" s="114"/>
      <c r="T942" s="114"/>
      <c r="U942" s="20"/>
      <c r="V942" s="20"/>
      <c r="W942" s="20"/>
    </row>
    <row r="943" spans="19:23">
      <c r="S943" s="114"/>
      <c r="T943" s="114"/>
      <c r="U943" s="20"/>
      <c r="V943" s="20"/>
      <c r="W943" s="20"/>
    </row>
    <row r="944" spans="19:23">
      <c r="S944" s="114"/>
      <c r="T944" s="114"/>
      <c r="U944" s="20"/>
      <c r="V944" s="20"/>
      <c r="W944" s="20"/>
    </row>
    <row r="945" spans="19:23">
      <c r="S945" s="114"/>
      <c r="T945" s="114"/>
      <c r="U945" s="20"/>
      <c r="V945" s="20"/>
      <c r="W945" s="20"/>
    </row>
    <row r="946" spans="19:23">
      <c r="S946" s="114"/>
      <c r="T946" s="114"/>
      <c r="U946" s="20"/>
      <c r="V946" s="20"/>
      <c r="W946" s="20"/>
    </row>
    <row r="947" spans="19:23">
      <c r="S947" s="114"/>
      <c r="T947" s="114"/>
      <c r="U947" s="20"/>
      <c r="V947" s="20"/>
      <c r="W947" s="20"/>
    </row>
    <row r="948" spans="19:23">
      <c r="S948" s="114"/>
      <c r="T948" s="114"/>
      <c r="U948" s="20"/>
      <c r="V948" s="20"/>
      <c r="W948" s="20"/>
    </row>
    <row r="949" spans="19:23">
      <c r="S949" s="114"/>
      <c r="T949" s="114"/>
      <c r="U949" s="20"/>
      <c r="V949" s="20"/>
      <c r="W949" s="20"/>
    </row>
    <row r="950" spans="19:23">
      <c r="S950" s="114"/>
      <c r="T950" s="114"/>
      <c r="U950" s="20"/>
      <c r="V950" s="20"/>
      <c r="W950" s="20"/>
    </row>
    <row r="951" spans="19:23">
      <c r="S951" s="114"/>
      <c r="T951" s="114"/>
      <c r="U951" s="20"/>
      <c r="V951" s="20"/>
      <c r="W951" s="20"/>
    </row>
  </sheetData>
  <conditionalFormatting sqref="S3:S254 W3:Y254 AA3:AB254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  <outlinePr summaryBelow="0" summaryRight="0"/>
  </sheetPr>
  <dimension ref="A1:V58"/>
  <sheetViews>
    <sheetView workbookViewId="0">
      <selection activeCell="D32" sqref="D32"/>
    </sheetView>
  </sheetViews>
  <sheetFormatPr defaultColWidth="12.5546875" defaultRowHeight="15.75" customHeight="1"/>
  <cols>
    <col min="1" max="1" width="14.88671875" customWidth="1"/>
    <col min="3" max="3" width="15.109375" customWidth="1"/>
    <col min="4" max="4" width="16.6640625" customWidth="1"/>
    <col min="7" max="7" width="6.44140625" customWidth="1"/>
    <col min="13" max="13" width="3.88671875" customWidth="1"/>
  </cols>
  <sheetData>
    <row r="1" spans="1:22" s="218" customFormat="1" ht="22.2" customHeight="1">
      <c r="A1" s="218" t="s">
        <v>741</v>
      </c>
    </row>
    <row r="2" spans="1:22" ht="13.2">
      <c r="E2" s="221">
        <v>2024</v>
      </c>
      <c r="F2" s="221">
        <v>2025</v>
      </c>
      <c r="G2" s="221">
        <v>2026</v>
      </c>
      <c r="H2" s="221">
        <v>2027</v>
      </c>
      <c r="I2" s="221">
        <v>2028</v>
      </c>
      <c r="J2" s="221">
        <v>2029</v>
      </c>
      <c r="K2" s="221">
        <v>2030</v>
      </c>
    </row>
    <row r="3" spans="1:22" ht="13.2">
      <c r="B3" s="219"/>
      <c r="C3" s="220" t="s">
        <v>469</v>
      </c>
      <c r="D3" s="221" t="s">
        <v>470</v>
      </c>
      <c r="E3" s="117">
        <v>10</v>
      </c>
      <c r="F3" s="117">
        <v>10</v>
      </c>
      <c r="G3" s="117">
        <v>10</v>
      </c>
      <c r="H3" s="117">
        <v>10</v>
      </c>
      <c r="I3" s="117">
        <v>10</v>
      </c>
      <c r="J3" s="117">
        <v>10</v>
      </c>
      <c r="K3" s="117">
        <v>10</v>
      </c>
    </row>
    <row r="4" spans="1:22" ht="13.2">
      <c r="C4" s="73"/>
      <c r="D4" s="221" t="s">
        <v>471</v>
      </c>
      <c r="E4" s="117">
        <v>12</v>
      </c>
      <c r="F4" s="117">
        <v>12</v>
      </c>
      <c r="G4" s="117">
        <v>12</v>
      </c>
      <c r="H4" s="117">
        <v>12</v>
      </c>
      <c r="I4" s="117">
        <v>12</v>
      </c>
      <c r="J4" s="117">
        <v>12</v>
      </c>
      <c r="K4" s="117">
        <v>12</v>
      </c>
    </row>
    <row r="5" spans="1:22" ht="13.2">
      <c r="B5" s="219"/>
      <c r="C5" s="220" t="s">
        <v>472</v>
      </c>
      <c r="D5" s="221" t="s">
        <v>470</v>
      </c>
      <c r="E5" s="117"/>
      <c r="F5" s="117">
        <v>1</v>
      </c>
      <c r="G5" s="117">
        <v>1</v>
      </c>
      <c r="H5" s="117">
        <v>1</v>
      </c>
      <c r="I5" s="117">
        <v>1</v>
      </c>
      <c r="J5" s="117">
        <v>1</v>
      </c>
      <c r="K5" s="117">
        <v>1</v>
      </c>
    </row>
    <row r="6" spans="1:22" ht="13.2">
      <c r="D6" s="221" t="s">
        <v>471</v>
      </c>
      <c r="E6" s="117">
        <v>6</v>
      </c>
      <c r="F6" s="117">
        <v>16</v>
      </c>
      <c r="G6" s="117">
        <v>16</v>
      </c>
      <c r="H6" s="117">
        <v>16</v>
      </c>
      <c r="I6" s="117">
        <v>16</v>
      </c>
      <c r="J6" s="117">
        <v>16</v>
      </c>
      <c r="K6" s="117">
        <v>16</v>
      </c>
    </row>
    <row r="8" spans="1:22" ht="13.2">
      <c r="C8" s="223" t="s">
        <v>2</v>
      </c>
      <c r="D8" s="223">
        <f>'Project Reductions Details'!C3</f>
        <v>2050</v>
      </c>
    </row>
    <row r="9" spans="1:22" ht="13.2" customHeight="1">
      <c r="C9" s="224" t="s">
        <v>473</v>
      </c>
      <c r="D9" s="226"/>
      <c r="I9" s="225" t="s">
        <v>474</v>
      </c>
      <c r="J9" s="226"/>
    </row>
    <row r="10" spans="1:22" ht="30" customHeight="1">
      <c r="C10" s="229" t="s">
        <v>46</v>
      </c>
      <c r="E10" s="288" t="s">
        <v>475</v>
      </c>
      <c r="F10" s="288"/>
      <c r="G10" s="288"/>
      <c r="H10" s="289"/>
      <c r="I10" s="229" t="s">
        <v>51</v>
      </c>
      <c r="J10" s="20"/>
      <c r="N10" s="229" t="s">
        <v>0</v>
      </c>
      <c r="P10" s="21"/>
      <c r="Q10" s="21"/>
      <c r="S10" s="21"/>
      <c r="T10" s="21"/>
    </row>
    <row r="11" spans="1:22" ht="13.2">
      <c r="C11" s="221" t="s">
        <v>476</v>
      </c>
      <c r="D11" s="221" t="s">
        <v>477</v>
      </c>
      <c r="E11" s="221" t="s">
        <v>478</v>
      </c>
      <c r="G11" s="20"/>
      <c r="H11" s="222"/>
      <c r="I11" s="221" t="s">
        <v>476</v>
      </c>
      <c r="J11" s="221" t="s">
        <v>477</v>
      </c>
      <c r="K11" s="221" t="s">
        <v>479</v>
      </c>
      <c r="N11" s="221" t="s">
        <v>480</v>
      </c>
      <c r="O11" s="221" t="s">
        <v>481</v>
      </c>
      <c r="P11" s="221" t="s">
        <v>482</v>
      </c>
      <c r="Q11" s="221" t="s">
        <v>483</v>
      </c>
      <c r="R11" s="221" t="s">
        <v>484</v>
      </c>
      <c r="S11" s="20"/>
    </row>
    <row r="12" spans="1:22" ht="13.2">
      <c r="A12" s="221" t="s">
        <v>5</v>
      </c>
      <c r="B12" s="228" t="s">
        <v>470</v>
      </c>
      <c r="C12" s="221"/>
      <c r="D12" s="230"/>
      <c r="E12" s="227">
        <f t="shared" ref="E12:E17" si="0">C12*D12</f>
        <v>0</v>
      </c>
      <c r="F12" s="21"/>
      <c r="G12" s="108"/>
      <c r="H12" s="221" t="s">
        <v>5</v>
      </c>
      <c r="I12" s="230">
        <v>0</v>
      </c>
      <c r="J12" s="230"/>
      <c r="K12" s="221">
        <v>0</v>
      </c>
      <c r="L12" s="21"/>
      <c r="M12" s="124">
        <f t="shared" ref="M12:M14" si="1">L12-K12</f>
        <v>0</v>
      </c>
      <c r="N12" s="227">
        <f>E12</f>
        <v>0</v>
      </c>
      <c r="O12" s="227">
        <f>E13</f>
        <v>0</v>
      </c>
      <c r="P12" s="227">
        <f t="shared" ref="P12:P14" si="2">K12</f>
        <v>0</v>
      </c>
      <c r="Q12" s="227">
        <f ca="1">SUMIFS(OFFSET('Projections by County'!$A$9:$A$36,0,MATCH($D$8,'Projections by County'!$A$9:$AG$9,0)-1),'Projections by County'!$A$9:$A$36,$A12,'Projections by County'!$B$9:$B$36,"Transportation",'Projections by County'!$C$9:$C$36,CONCATENATE(N$10," (kWh)"))/AVERAGE('Clean Fleet Calcs'!$F$9:$F$11)</f>
        <v>22776968.369850162</v>
      </c>
      <c r="R12" s="227">
        <f t="shared" ref="R12:R14" ca="1" si="3">SUM(N12:Q12)</f>
        <v>22776968.369850162</v>
      </c>
      <c r="T12" s="21"/>
      <c r="U12" s="21"/>
      <c r="V12" s="21"/>
    </row>
    <row r="13" spans="1:22" ht="13.2">
      <c r="A13" s="221" t="s">
        <v>5</v>
      </c>
      <c r="B13" s="228" t="s">
        <v>471</v>
      </c>
      <c r="C13" s="221"/>
      <c r="D13" s="230"/>
      <c r="E13" s="227">
        <f t="shared" si="0"/>
        <v>0</v>
      </c>
      <c r="F13" s="21"/>
      <c r="G13" s="108"/>
      <c r="H13" s="221" t="s">
        <v>9</v>
      </c>
      <c r="I13" s="230">
        <v>0</v>
      </c>
      <c r="J13" s="230"/>
      <c r="K13" s="221">
        <v>0</v>
      </c>
      <c r="L13" s="21"/>
      <c r="M13" s="124">
        <f t="shared" si="1"/>
        <v>0</v>
      </c>
      <c r="N13" s="227">
        <f>E14</f>
        <v>0</v>
      </c>
      <c r="O13" s="227">
        <f>E15</f>
        <v>0</v>
      </c>
      <c r="P13" s="227">
        <f t="shared" si="2"/>
        <v>0</v>
      </c>
      <c r="Q13" s="227">
        <f ca="1">SUMIFS(OFFSET('Projections by County'!$A$9:$A$36,0,MATCH($D$8,'Projections by County'!$A$9:$AG$9,0)-1),'Projections by County'!$A$9:$A$36,$A14,'Projections by County'!$B$9:$B$36,"Transportation",'Projections by County'!$C$9:$C$36,CONCATENATE(N$10," (kWh)"))/AVERAGE('Clean Fleet Calcs'!$F$9:$F$11)</f>
        <v>14070438.472371694</v>
      </c>
      <c r="R13" s="227">
        <f t="shared" ca="1" si="3"/>
        <v>14070438.472371694</v>
      </c>
      <c r="T13" s="21"/>
      <c r="U13" s="21"/>
      <c r="V13" s="21"/>
    </row>
    <row r="14" spans="1:22" ht="13.2">
      <c r="A14" s="221" t="s">
        <v>9</v>
      </c>
      <c r="B14" s="228" t="s">
        <v>470</v>
      </c>
      <c r="C14" s="221"/>
      <c r="D14" s="230"/>
      <c r="E14" s="227">
        <f t="shared" si="0"/>
        <v>0</v>
      </c>
      <c r="F14" s="21"/>
      <c r="G14" s="108"/>
      <c r="H14" s="227" t="s">
        <v>10</v>
      </c>
      <c r="I14" s="230">
        <v>0</v>
      </c>
      <c r="J14" s="231"/>
      <c r="K14" s="221">
        <v>0</v>
      </c>
      <c r="L14" s="21"/>
      <c r="M14" s="124">
        <f t="shared" si="1"/>
        <v>0</v>
      </c>
      <c r="N14" s="227">
        <f ca="1">E16</f>
        <v>44000</v>
      </c>
      <c r="O14" s="227">
        <f ca="1">E17</f>
        <v>224000</v>
      </c>
      <c r="P14" s="227">
        <f t="shared" si="2"/>
        <v>0</v>
      </c>
      <c r="Q14" s="227">
        <f ca="1">SUMIFS(OFFSET('Projections by County'!$A$9:$A$36,0,MATCH($D$8,'Projections by County'!$A$9:$AG$9,0)-1),'Projections by County'!$A$9:$A$36,$A16,'Projections by County'!$B$9:$B$36,"Transportation",'Projections by County'!$C$9:$C$36,CONCATENATE(N$10," (kWh)"))/AVERAGE('Clean Fleet Calcs'!$F$9:$F$11)</f>
        <v>58877518.569171764</v>
      </c>
      <c r="R14" s="227">
        <f t="shared" ca="1" si="3"/>
        <v>59145518.569171764</v>
      </c>
      <c r="T14" s="21"/>
      <c r="U14" s="21"/>
      <c r="V14" s="21"/>
    </row>
    <row r="15" spans="1:22" ht="13.2">
      <c r="A15" s="221" t="s">
        <v>9</v>
      </c>
      <c r="B15" s="228" t="s">
        <v>471</v>
      </c>
      <c r="C15" s="221"/>
      <c r="D15" s="231"/>
      <c r="E15" s="227">
        <f t="shared" si="0"/>
        <v>0</v>
      </c>
      <c r="F15" s="21"/>
      <c r="G15" s="108"/>
    </row>
    <row r="16" spans="1:22" ht="13.2">
      <c r="A16" s="227" t="s">
        <v>10</v>
      </c>
      <c r="B16" s="228" t="s">
        <v>470</v>
      </c>
      <c r="C16" s="221">
        <f t="shared" ref="C16:C17" ca="1" si="4">SUMIFS(OFFSET($E$3:$E$6,0,MATCH($D$8,$E$2:$K$2,1)-1),$D$3:$D$6,B16)</f>
        <v>11</v>
      </c>
      <c r="D16" s="231">
        <v>4000</v>
      </c>
      <c r="E16" s="227">
        <f t="shared" ca="1" si="0"/>
        <v>44000</v>
      </c>
      <c r="F16" s="21"/>
      <c r="G16" s="108"/>
      <c r="K16" s="122"/>
      <c r="M16" s="21"/>
    </row>
    <row r="17" spans="1:22" ht="13.2">
      <c r="A17" s="227" t="s">
        <v>10</v>
      </c>
      <c r="B17" s="228" t="s">
        <v>471</v>
      </c>
      <c r="C17" s="221">
        <f t="shared" ca="1" si="4"/>
        <v>28</v>
      </c>
      <c r="D17" s="231">
        <v>8000</v>
      </c>
      <c r="E17" s="227">
        <f t="shared" ca="1" si="0"/>
        <v>224000</v>
      </c>
      <c r="H17" s="21"/>
      <c r="I17" s="21"/>
      <c r="J17" s="21"/>
    </row>
    <row r="18" spans="1:22" ht="64.5" customHeight="1">
      <c r="E18" s="286" t="s">
        <v>485</v>
      </c>
      <c r="F18" s="286"/>
      <c r="G18" s="286"/>
      <c r="H18" s="286"/>
      <c r="K18" s="286" t="s">
        <v>486</v>
      </c>
      <c r="L18" s="286"/>
      <c r="N18" s="286" t="s">
        <v>487</v>
      </c>
      <c r="O18" s="286"/>
      <c r="P18" s="286"/>
      <c r="R18" s="287" t="s">
        <v>488</v>
      </c>
      <c r="S18" s="287"/>
      <c r="T18" s="287"/>
      <c r="U18" s="287"/>
      <c r="V18" s="287"/>
    </row>
    <row r="19" spans="1:22" ht="13.2">
      <c r="E19" s="20" t="s">
        <v>489</v>
      </c>
      <c r="G19" s="21"/>
      <c r="K19" s="20" t="s">
        <v>490</v>
      </c>
      <c r="M19" s="21"/>
      <c r="N19" s="20" t="s">
        <v>409</v>
      </c>
      <c r="R19" s="126" t="str">
        <f>CONCATENATE("Net Emissions in ", D8, " (MT CO2e)")</f>
        <v>Net Emissions in 2050 (MT CO2e)</v>
      </c>
    </row>
    <row r="20" spans="1:22" ht="13.2">
      <c r="A20" s="20" t="s">
        <v>5</v>
      </c>
      <c r="B20" s="20"/>
      <c r="E20" s="20">
        <f ca="1">SUMIF($A12:$A17,A20,$E12:$E17)*VLOOKUP($A20&amp;C$10,'Clean Fleet Calcs'!$I$3:$Q$8,8,FALSE)</f>
        <v>0</v>
      </c>
      <c r="K20" s="20">
        <f ca="1">K12*VLOOKUP($A20&amp;I$10,'Clean Fleet Calcs'!$I$3:$Q$8,8,FALSE)</f>
        <v>0</v>
      </c>
      <c r="N20" s="20">
        <f>N12*'Clean Fleet Calcs'!$F$9/1000000*HLOOKUP($D$8,'Emissions Factors'!$E$50:$AH$51,2,FALSE)</f>
        <v>0</v>
      </c>
      <c r="O20" s="20">
        <f>O12*'Clean Fleet Calcs'!$F$10/1000000*HLOOKUP($D$8,'Emissions Factors'!$E$50:$AH$51,2,FALSE)</f>
        <v>0</v>
      </c>
      <c r="P20" s="20">
        <f>P12*'Clean Fleet Calcs'!$F$11/1000000*HLOOKUP($D$8,'Emissions Factors'!$E$50:$AH$51,2,FALSE)</f>
        <v>0</v>
      </c>
      <c r="R20" s="20">
        <f t="shared" ref="R20:R22" ca="1" si="5">SUM(N20:P20)-(E20+K20)</f>
        <v>0</v>
      </c>
    </row>
    <row r="21" spans="1:22" ht="13.2">
      <c r="A21" s="20" t="s">
        <v>9</v>
      </c>
      <c r="B21" s="20"/>
      <c r="E21" s="20">
        <f ca="1">SUMIF($A12:$A17,A21,$E12:$E17)*VLOOKUP($A21&amp;C$10,'Clean Fleet Calcs'!$I$3:$Q$8,8,FALSE)</f>
        <v>0</v>
      </c>
      <c r="K21" s="20">
        <f ca="1">K13*VLOOKUP($A21&amp;I$10,'Clean Fleet Calcs'!$I$3:$Q$8,8,FALSE)</f>
        <v>0</v>
      </c>
      <c r="N21" s="20">
        <f>N13*'Clean Fleet Calcs'!$F$9/1000000*HLOOKUP($D$8,'Emissions Factors'!$E$50:$AH$51,2,FALSE)</f>
        <v>0</v>
      </c>
      <c r="O21" s="20">
        <f>O13*'Clean Fleet Calcs'!$F$10/1000000*HLOOKUP($D$8,'Emissions Factors'!$E$50:$AH$51,2,FALSE)</f>
        <v>0</v>
      </c>
      <c r="P21" s="20">
        <f>P13*'Clean Fleet Calcs'!$F$11/1000000*HLOOKUP($D$8,'Emissions Factors'!$E$50:$AH$51,2,FALSE)</f>
        <v>0</v>
      </c>
      <c r="R21" s="20">
        <f t="shared" ca="1" si="5"/>
        <v>0</v>
      </c>
    </row>
    <row r="22" spans="1:22" ht="13.2">
      <c r="A22" s="21" t="s">
        <v>10</v>
      </c>
      <c r="B22" s="21"/>
      <c r="E22" s="20">
        <f ca="1">SUMIF($A12:$A17,A22,$E12:$E17)*VLOOKUP($A22&amp;C$10,'Clean Fleet Calcs'!$I$3:$Q$8,8,FALSE)</f>
        <v>103.79665386620101</v>
      </c>
      <c r="K22" s="20">
        <f ca="1">K14*VLOOKUP($A22&amp;I$10,'Clean Fleet Calcs'!$I$3:$Q$8,8,FALSE)</f>
        <v>0</v>
      </c>
      <c r="N22" s="20">
        <f ca="1">N14*'Clean Fleet Calcs'!$F$9/1000000*HLOOKUP($D$8,'Emissions Factors'!$E$50:$AH$51,2,FALSE)</f>
        <v>5.2808451147732951</v>
      </c>
      <c r="O22" s="20">
        <f ca="1">O14*'Clean Fleet Calcs'!$F$10/1000000*HLOOKUP($D$8,'Emissions Factors'!$E$50:$AH$51,2,FALSE)</f>
        <v>38.235020637441615</v>
      </c>
      <c r="P22" s="20">
        <f>P14*'Clean Fleet Calcs'!$F$11/1000000*HLOOKUP($D$8,'Emissions Factors'!$E$50:$AH$51,2,FALSE)</f>
        <v>0</v>
      </c>
      <c r="R22" s="20">
        <f t="shared" ca="1" si="5"/>
        <v>-60.280788113986105</v>
      </c>
    </row>
    <row r="23" spans="1:22" ht="13.2">
      <c r="D23" s="21"/>
    </row>
    <row r="25" spans="1:22" s="233" customFormat="1" ht="13.2">
      <c r="A25" s="232" t="s">
        <v>491</v>
      </c>
    </row>
    <row r="26" spans="1:22" ht="13.2">
      <c r="A26" s="127">
        <v>65000</v>
      </c>
      <c r="B26" s="20" t="s">
        <v>492</v>
      </c>
    </row>
    <row r="27" spans="1:22" ht="13.2">
      <c r="A27" s="127">
        <v>40000</v>
      </c>
      <c r="B27" s="20" t="s">
        <v>493</v>
      </c>
    </row>
    <row r="28" spans="1:22" ht="13.2">
      <c r="A28" s="127">
        <v>5000</v>
      </c>
      <c r="B28" s="20" t="s">
        <v>494</v>
      </c>
    </row>
    <row r="29" spans="1:22" ht="13.2">
      <c r="A29" s="127">
        <v>18000</v>
      </c>
      <c r="B29" s="20" t="s">
        <v>495</v>
      </c>
    </row>
    <row r="31" spans="1:22" ht="13.2">
      <c r="B31" s="20" t="s">
        <v>496</v>
      </c>
      <c r="C31" s="20" t="s">
        <v>497</v>
      </c>
      <c r="D31" s="20" t="s">
        <v>498</v>
      </c>
    </row>
    <row r="32" spans="1:22" ht="13.2">
      <c r="A32" s="20" t="s">
        <v>499</v>
      </c>
      <c r="B32" s="20">
        <f>SUMIF($D$3:$D$6,"light truck",$K$3:$K$6)</f>
        <v>28</v>
      </c>
      <c r="C32" s="127">
        <f t="shared" ref="C32:C33" si="6">A26</f>
        <v>65000</v>
      </c>
      <c r="D32" s="127">
        <f t="shared" ref="D32:D36" si="7">B32*C32</f>
        <v>1820000</v>
      </c>
    </row>
    <row r="33" spans="1:4" ht="13.2">
      <c r="A33" s="20" t="s">
        <v>500</v>
      </c>
      <c r="B33" s="20">
        <f>SUMIF($D$3:$D$6,"car",$K$3:$K$6)</f>
        <v>11</v>
      </c>
      <c r="C33" s="127">
        <f t="shared" si="6"/>
        <v>40000</v>
      </c>
      <c r="D33" s="127">
        <f t="shared" si="7"/>
        <v>440000</v>
      </c>
    </row>
    <row r="34" spans="1:4" ht="13.2">
      <c r="A34" s="20" t="s">
        <v>501</v>
      </c>
      <c r="B34" s="20">
        <v>27</v>
      </c>
      <c r="C34" s="127">
        <f t="shared" ref="C34:C36" si="8">A27</f>
        <v>40000</v>
      </c>
      <c r="D34" s="127">
        <f t="shared" si="7"/>
        <v>1080000</v>
      </c>
    </row>
    <row r="35" spans="1:4" ht="13.2">
      <c r="A35" s="20" t="s">
        <v>502</v>
      </c>
      <c r="B35" s="20">
        <v>22</v>
      </c>
      <c r="C35" s="127">
        <f t="shared" si="8"/>
        <v>5000</v>
      </c>
      <c r="D35" s="127">
        <f t="shared" si="7"/>
        <v>110000</v>
      </c>
    </row>
    <row r="36" spans="1:4" ht="13.2">
      <c r="A36" s="20" t="s">
        <v>503</v>
      </c>
      <c r="B36" s="20">
        <v>32</v>
      </c>
      <c r="C36" s="127">
        <f t="shared" si="8"/>
        <v>18000</v>
      </c>
      <c r="D36" s="127">
        <f t="shared" si="7"/>
        <v>576000</v>
      </c>
    </row>
    <row r="37" spans="1:4" ht="13.2">
      <c r="D37" s="127">
        <f>SUM(D32:D36)</f>
        <v>4026000</v>
      </c>
    </row>
    <row r="39" spans="1:4" s="233" customFormat="1" ht="13.2">
      <c r="A39" s="232" t="s">
        <v>504</v>
      </c>
    </row>
    <row r="40" spans="1:4" ht="13.2">
      <c r="C40" s="20">
        <f>D8</f>
        <v>2050</v>
      </c>
    </row>
    <row r="41" spans="1:4" ht="13.2">
      <c r="A41" s="20" t="s">
        <v>470</v>
      </c>
      <c r="B41" s="20" t="s">
        <v>196</v>
      </c>
      <c r="C41" s="46">
        <f ca="1">SUMIFS(OFFSET('Clean Fleet Calcs'!$C$44:$C$61,0,MATCH(C$40,'Clean Fleet Calcs'!$C$43:$J$43)-1),'Clean Fleet Calcs'!$A$44:$A$61,"ldv_gas_"&amp;IF($A$41="light truck","lt","car"),'Clean Fleet Calcs'!$B$44:$B$61,$B41)*SUMIF($B$12:$B$17,$A$41,$E$12:$E$17)/1000</f>
        <v>6.9960000000000004</v>
      </c>
    </row>
    <row r="42" spans="1:4" ht="13.2">
      <c r="B42" s="20" t="s">
        <v>197</v>
      </c>
      <c r="C42" s="46">
        <f ca="1">SUMIFS(OFFSET('Clean Fleet Calcs'!$C$44:$C$61,0,MATCH(C$40,'Clean Fleet Calcs'!$C$43:$J$43)-1),'Clean Fleet Calcs'!$A$44:$A$61,"ldv_gas_"&amp;IF($A$41="light truck","lt","car"),'Clean Fleet Calcs'!$B$44:$B$61,$B42)*SUMIF($B$12:$B$17,$A$41,$E$12:$E$17)/1000</f>
        <v>110.352</v>
      </c>
    </row>
    <row r="43" spans="1:4" ht="13.2">
      <c r="B43" s="20" t="s">
        <v>198</v>
      </c>
      <c r="C43" s="46">
        <f ca="1">SUMIFS(OFFSET('Clean Fleet Calcs'!$C$44:$C$61,0,MATCH(C$40,'Clean Fleet Calcs'!$C$43:$J$43)-1),'Clean Fleet Calcs'!$A$44:$A$61,"ldv_gas_"&amp;IF($A$41="light truck","lt","car"),'Clean Fleet Calcs'!$B$44:$B$61,$B43)*SUMIF($B$12:$B$17,$A$41,$E$12:$E$17)/1000</f>
        <v>2.3759999999999999</v>
      </c>
    </row>
    <row r="44" spans="1:4" ht="13.2">
      <c r="B44" s="20" t="s">
        <v>199</v>
      </c>
      <c r="C44" s="46">
        <f ca="1">SUMIFS(OFFSET('Clean Fleet Calcs'!$C$44:$C$61,0,MATCH(C$40,'Clean Fleet Calcs'!$C$43:$J$43)-1),'Clean Fleet Calcs'!$A$44:$A$61,"ldv_gas_"&amp;IF($A$41="light truck","lt","car"),'Clean Fleet Calcs'!$B$44:$B$61,$B44)*SUMIF($B$12:$B$17,$A$41,$E$12:$E$17)/1000</f>
        <v>0.17599999999999999</v>
      </c>
    </row>
    <row r="45" spans="1:4" ht="13.2">
      <c r="B45" s="20" t="s">
        <v>200</v>
      </c>
      <c r="C45" s="46">
        <f ca="1">SUMIFS(OFFSET('Clean Fleet Calcs'!$C$44:$C$61,0,MATCH(C$40,'Clean Fleet Calcs'!$C$43:$J$43)-1),'Clean Fleet Calcs'!$A$44:$A$61,"ldv_gas_"&amp;IF($A$41="light truck","lt","car"),'Clean Fleet Calcs'!$B$44:$B$61,$B45)*SUMIF($B$12:$B$17,$A$41,$E$12:$E$17)/1000</f>
        <v>0.13200000000000001</v>
      </c>
    </row>
    <row r="46" spans="1:4" ht="13.2">
      <c r="B46" s="20" t="s">
        <v>201</v>
      </c>
      <c r="C46" s="46">
        <f ca="1">SUMIFS(OFFSET('Clean Fleet Calcs'!$C$44:$C$61,0,MATCH(C$40,'Clean Fleet Calcs'!$C$43:$J$43)-1),'Clean Fleet Calcs'!$A$44:$A$61,"ldv_gas_"&amp;IF($A$41="light truck","lt","car"),'Clean Fleet Calcs'!$B$44:$B$61,$B46)*SUMIF($B$12:$B$17,$A$41,$E$12:$E$17)/1000</f>
        <v>4.3999999999999997E-2</v>
      </c>
    </row>
    <row r="47" spans="1:4" ht="13.2">
      <c r="A47" s="20" t="s">
        <v>471</v>
      </c>
      <c r="B47" s="20" t="s">
        <v>196</v>
      </c>
      <c r="C47" s="46">
        <f ca="1">SUMIFS(OFFSET('Clean Fleet Calcs'!$C$44:$C$61,0,MATCH(C$40,'Clean Fleet Calcs'!$C$43:$J$43)-1),'Clean Fleet Calcs'!$A$44:$A$61,"ldv_gas_"&amp;IF($A$47="light truck","lt","car"),'Clean Fleet Calcs'!$B$44:$B$61,$B47)*SUMIF($B$12:$B$17,$A$47,$E$12:$E$17)/1000</f>
        <v>39.200000000000003</v>
      </c>
    </row>
    <row r="48" spans="1:4" ht="13.2">
      <c r="B48" s="20" t="s">
        <v>197</v>
      </c>
      <c r="C48" s="46">
        <f ca="1">SUMIFS(OFFSET('Clean Fleet Calcs'!$C$44:$C$61,0,MATCH(C$40,'Clean Fleet Calcs'!$C$43:$J$43)-1),'Clean Fleet Calcs'!$A$44:$A$61,"ldv_gas_"&amp;IF($A$47="light truck","lt","car"),'Clean Fleet Calcs'!$B$44:$B$61,$B48)*SUMIF($B$12:$B$17,$A$47,$E$12:$E$17)/1000</f>
        <v>645.79200000000003</v>
      </c>
    </row>
    <row r="49" spans="2:3" ht="13.2">
      <c r="B49" s="20" t="s">
        <v>198</v>
      </c>
      <c r="C49" s="46">
        <f ca="1">SUMIFS(OFFSET('Clean Fleet Calcs'!$C$44:$C$61,0,MATCH(C$40,'Clean Fleet Calcs'!$C$43:$J$43)-1),'Clean Fleet Calcs'!$A$44:$A$61,"ldv_gas_"&amp;IF($A$47="light truck","lt","car"),'Clean Fleet Calcs'!$B$44:$B$61,$B49)*SUMIF($B$12:$B$17,$A$47,$E$12:$E$17)/1000</f>
        <v>19.936</v>
      </c>
    </row>
    <row r="50" spans="2:3" ht="13.2">
      <c r="B50" s="20" t="s">
        <v>199</v>
      </c>
      <c r="C50" s="46">
        <f ca="1">SUMIFS(OFFSET('Clean Fleet Calcs'!$C$44:$C$61,0,MATCH(C$40,'Clean Fleet Calcs'!$C$43:$J$43)-1),'Clean Fleet Calcs'!$A$44:$A$61,"ldv_gas_"&amp;IF($A$47="light truck","lt","car"),'Clean Fleet Calcs'!$B$44:$B$61,$B50)*SUMIF($B$12:$B$17,$A$47,$E$12:$E$17)/1000</f>
        <v>1.1200000000000001</v>
      </c>
    </row>
    <row r="51" spans="2:3" ht="13.2">
      <c r="B51" s="20" t="s">
        <v>200</v>
      </c>
      <c r="C51" s="46">
        <f ca="1">SUMIFS(OFFSET('Clean Fleet Calcs'!$C$44:$C$61,0,MATCH(C$40,'Clean Fleet Calcs'!$C$43:$J$43)-1),'Clean Fleet Calcs'!$A$44:$A$61,"ldv_gas_"&amp;IF($A$47="light truck","lt","car"),'Clean Fleet Calcs'!$B$44:$B$61,$B51)*SUMIF($B$12:$B$17,$A$47,$E$12:$E$17)/1000</f>
        <v>0.67200000000000004</v>
      </c>
    </row>
    <row r="52" spans="2:3" ht="13.2">
      <c r="B52" s="20" t="s">
        <v>201</v>
      </c>
      <c r="C52" s="46">
        <f ca="1">SUMIFS(OFFSET('Clean Fleet Calcs'!$C$44:$C$61,0,MATCH(C$40,'Clean Fleet Calcs'!$C$43:$J$43)-1),'Clean Fleet Calcs'!$A$44:$A$61,"ldv_gas_"&amp;IF($A$47="light truck","lt","car"),'Clean Fleet Calcs'!$B$44:$B$61,$B52)*SUMIF($B$12:$B$17,$A$47,$E$12:$E$17)/1000</f>
        <v>0.224</v>
      </c>
    </row>
    <row r="54" spans="2:3" ht="13.2">
      <c r="C54" s="20">
        <f>C40</f>
        <v>2050</v>
      </c>
    </row>
    <row r="55" spans="2:3" ht="13.2">
      <c r="B55" s="20" t="s">
        <v>505</v>
      </c>
      <c r="C55" s="46">
        <f t="shared" ref="C55:C58" ca="1" si="9">SUMIF($B$41:$B$52,"*"&amp;$B55&amp;"*",C$41:C$52)</f>
        <v>46.196000000000005</v>
      </c>
    </row>
    <row r="56" spans="2:3" ht="13.2">
      <c r="B56" s="20" t="s">
        <v>506</v>
      </c>
      <c r="C56" s="46">
        <f t="shared" ca="1" si="9"/>
        <v>756.14400000000001</v>
      </c>
    </row>
    <row r="57" spans="2:3" ht="13.2">
      <c r="B57" s="20" t="s">
        <v>507</v>
      </c>
      <c r="C57" s="46">
        <f t="shared" ca="1" si="9"/>
        <v>22.312000000000001</v>
      </c>
    </row>
    <row r="58" spans="2:3" ht="13.2">
      <c r="B58" s="20" t="s">
        <v>508</v>
      </c>
      <c r="C58" s="46">
        <f t="shared" ca="1" si="9"/>
        <v>2.3680000000000003</v>
      </c>
    </row>
  </sheetData>
  <mergeCells count="5">
    <mergeCell ref="E18:H18"/>
    <mergeCell ref="K18:L18"/>
    <mergeCell ref="N18:P18"/>
    <mergeCell ref="R18:V18"/>
    <mergeCell ref="E10:H10"/>
  </mergeCells>
  <conditionalFormatting sqref="M12:M14 G12:G16">
    <cfRule type="cellIs" dxfId="10" priority="1" operator="lessThan">
      <formula>0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  <outlinePr summaryBelow="0" summaryRight="0"/>
  </sheetPr>
  <dimension ref="A1:BG1029"/>
  <sheetViews>
    <sheetView workbookViewId="0">
      <selection activeCell="C21" sqref="C21"/>
    </sheetView>
  </sheetViews>
  <sheetFormatPr defaultColWidth="12.5546875" defaultRowHeight="15.75" customHeight="1"/>
  <cols>
    <col min="1" max="1" width="27.88671875" customWidth="1"/>
    <col min="2" max="2" width="21.33203125" customWidth="1"/>
    <col min="3" max="3" width="35.33203125" customWidth="1"/>
    <col min="4" max="4" width="31.33203125" customWidth="1"/>
    <col min="6" max="6" width="17.44140625" customWidth="1"/>
    <col min="9" max="9" width="29.6640625" customWidth="1"/>
    <col min="13" max="13" width="16.6640625" customWidth="1"/>
  </cols>
  <sheetData>
    <row r="1" spans="1:59" s="234" customFormat="1" ht="31.2" customHeight="1">
      <c r="A1" s="218" t="s">
        <v>742</v>
      </c>
    </row>
    <row r="3" spans="1:59" ht="13.2">
      <c r="A3" s="235" t="s">
        <v>509</v>
      </c>
      <c r="B3" s="236">
        <v>2026</v>
      </c>
      <c r="C3" s="236">
        <v>2027</v>
      </c>
      <c r="D3" s="236">
        <v>2028</v>
      </c>
      <c r="E3" s="236">
        <v>2029</v>
      </c>
      <c r="F3" s="236">
        <v>2030</v>
      </c>
      <c r="G3" s="236">
        <v>2050</v>
      </c>
      <c r="H3" s="2"/>
      <c r="I3" s="2"/>
      <c r="J3" s="2"/>
      <c r="K3" s="2"/>
      <c r="L3" s="2"/>
      <c r="M3" s="2"/>
      <c r="N3" s="2"/>
      <c r="O3" s="2"/>
      <c r="P3" s="2"/>
      <c r="Q3" s="2"/>
    </row>
    <row r="4" spans="1:59" ht="13.2">
      <c r="A4" s="237" t="s">
        <v>5</v>
      </c>
      <c r="B4" s="238">
        <v>0</v>
      </c>
      <c r="C4" s="238">
        <v>0</v>
      </c>
      <c r="D4" s="238">
        <v>0</v>
      </c>
      <c r="E4" s="238">
        <v>0</v>
      </c>
      <c r="F4" s="238">
        <v>0</v>
      </c>
      <c r="G4" s="238">
        <v>0</v>
      </c>
      <c r="H4" s="2"/>
      <c r="I4" s="2"/>
      <c r="J4" s="2"/>
      <c r="K4" s="2"/>
      <c r="L4" s="2"/>
      <c r="M4" s="2"/>
      <c r="N4" s="2"/>
      <c r="O4" s="2"/>
      <c r="P4" s="2"/>
      <c r="Q4" s="2"/>
    </row>
    <row r="5" spans="1:59" ht="13.2">
      <c r="A5" s="237" t="s">
        <v>9</v>
      </c>
      <c r="B5" s="238">
        <v>0</v>
      </c>
      <c r="C5" s="238">
        <v>0</v>
      </c>
      <c r="D5" s="238">
        <v>0</v>
      </c>
      <c r="E5" s="238">
        <v>0</v>
      </c>
      <c r="F5" s="238">
        <v>0</v>
      </c>
      <c r="G5" s="238">
        <v>0</v>
      </c>
      <c r="H5" s="2"/>
      <c r="I5" s="2"/>
      <c r="J5" s="2"/>
      <c r="K5" s="2"/>
      <c r="L5" s="2"/>
      <c r="M5" s="2"/>
      <c r="N5" s="2"/>
      <c r="O5" s="2"/>
      <c r="P5" s="2"/>
      <c r="Q5" s="2"/>
    </row>
    <row r="6" spans="1:59" ht="13.2">
      <c r="A6" s="239" t="s">
        <v>10</v>
      </c>
      <c r="B6" s="238">
        <v>0.01</v>
      </c>
      <c r="C6" s="238">
        <f>0.025</f>
        <v>2.5000000000000001E-2</v>
      </c>
      <c r="D6" s="238">
        <v>0.05</v>
      </c>
      <c r="E6" s="238">
        <v>0.1</v>
      </c>
      <c r="F6" s="238">
        <v>0.125</v>
      </c>
      <c r="G6" s="238">
        <v>0.125</v>
      </c>
      <c r="H6" s="2"/>
      <c r="I6" s="2"/>
      <c r="J6" s="2"/>
      <c r="K6" s="2"/>
      <c r="L6" s="2"/>
      <c r="M6" s="2"/>
      <c r="N6" s="2"/>
      <c r="O6" s="2"/>
      <c r="P6" s="2"/>
      <c r="Q6" s="2"/>
    </row>
    <row r="7" spans="1:59" ht="13.2">
      <c r="A7" s="23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</row>
    <row r="8" spans="1:59" ht="13.2">
      <c r="A8" s="23" t="s">
        <v>510</v>
      </c>
      <c r="B8" s="129">
        <v>0.85</v>
      </c>
      <c r="C8" s="2"/>
      <c r="D8" s="9"/>
      <c r="E8" s="9"/>
      <c r="F8" s="98"/>
      <c r="G8" s="98"/>
      <c r="H8" s="98"/>
      <c r="I8" s="98"/>
      <c r="J8" s="98"/>
      <c r="K8" s="98"/>
      <c r="L8" s="98"/>
      <c r="M8" s="98"/>
      <c r="N8" s="98"/>
      <c r="O8" s="98"/>
      <c r="P8" s="9"/>
      <c r="Q8" s="9"/>
    </row>
    <row r="9" spans="1:59" ht="15.75" customHeight="1">
      <c r="A9" s="2"/>
      <c r="B9" s="99"/>
      <c r="C9" s="2"/>
      <c r="D9" s="9"/>
      <c r="E9" s="9"/>
      <c r="F9" s="2"/>
      <c r="G9" s="2"/>
      <c r="H9" s="2"/>
      <c r="I9" s="2"/>
      <c r="J9" s="2"/>
      <c r="K9" s="2"/>
      <c r="L9" s="2"/>
      <c r="M9" s="2"/>
      <c r="N9" s="2"/>
      <c r="O9" s="2"/>
      <c r="P9" s="9"/>
      <c r="Q9" s="9"/>
    </row>
    <row r="10" spans="1:59" ht="13.2">
      <c r="A10" s="2"/>
      <c r="B10" s="2" t="s">
        <v>511</v>
      </c>
      <c r="C10" s="2"/>
      <c r="D10" s="2"/>
      <c r="E10" s="2"/>
      <c r="F10" s="2"/>
      <c r="G10" s="2"/>
      <c r="H10" s="2"/>
      <c r="I10" s="2"/>
      <c r="J10" s="2"/>
      <c r="K10" s="2"/>
      <c r="L10" s="9"/>
    </row>
    <row r="11" spans="1:59" ht="13.2">
      <c r="A11" s="244" t="s">
        <v>512</v>
      </c>
      <c r="B11" s="245">
        <f>'Project Reductions Details'!C3</f>
        <v>2050</v>
      </c>
      <c r="C11" s="2"/>
      <c r="D11" s="2"/>
      <c r="E11" s="2"/>
      <c r="F11" s="2" t="s">
        <v>513</v>
      </c>
      <c r="G11" s="2"/>
      <c r="H11" s="2"/>
      <c r="I11" s="2"/>
      <c r="J11" s="2"/>
      <c r="K11" s="9"/>
      <c r="L11" s="23"/>
      <c r="M11" s="2"/>
      <c r="N11" s="2"/>
      <c r="O11" s="2"/>
      <c r="P11" s="2"/>
      <c r="Q11" s="2"/>
      <c r="R11" s="2"/>
      <c r="S11" s="2"/>
      <c r="U11" s="9"/>
      <c r="V11" s="23"/>
      <c r="W11" s="2"/>
      <c r="X11" s="2"/>
      <c r="Y11" s="2"/>
      <c r="Z11" s="2"/>
      <c r="AA11" s="2"/>
      <c r="AB11" s="2"/>
      <c r="AC11" s="2"/>
      <c r="AE11" s="9"/>
      <c r="AF11" s="23"/>
      <c r="AG11" s="2"/>
      <c r="AH11" s="2"/>
      <c r="AI11" s="2"/>
      <c r="AJ11" s="2"/>
      <c r="AK11" s="2"/>
      <c r="AL11" s="2"/>
      <c r="AM11" s="2"/>
      <c r="AN11" s="2"/>
      <c r="AO11" s="9"/>
      <c r="AP11" s="23"/>
      <c r="AQ11" s="2"/>
      <c r="AR11" s="2"/>
      <c r="AS11" s="2"/>
      <c r="AT11" s="2"/>
      <c r="AU11" s="2"/>
      <c r="AV11" s="2"/>
      <c r="AW11" s="2"/>
      <c r="AX11" s="2"/>
      <c r="AY11" s="9"/>
      <c r="AZ11" s="23"/>
      <c r="BA11" s="2"/>
      <c r="BB11" s="2"/>
      <c r="BC11" s="2"/>
      <c r="BD11" s="2"/>
      <c r="BE11" s="2"/>
      <c r="BF11" s="2"/>
      <c r="BG11" s="2"/>
    </row>
    <row r="12" spans="1:59" ht="57.6">
      <c r="A12" s="2"/>
      <c r="B12" s="2"/>
      <c r="C12" s="206" t="s">
        <v>514</v>
      </c>
      <c r="D12" s="206" t="s">
        <v>515</v>
      </c>
      <c r="E12" s="130" t="s">
        <v>516</v>
      </c>
      <c r="F12" s="290" t="s">
        <v>517</v>
      </c>
      <c r="G12" s="290"/>
      <c r="H12" s="2" t="s">
        <v>516</v>
      </c>
      <c r="I12" s="206" t="s">
        <v>518</v>
      </c>
      <c r="J12" s="2" t="s">
        <v>516</v>
      </c>
      <c r="K12" s="2"/>
      <c r="L12" s="131"/>
      <c r="M12" s="131"/>
      <c r="N12" s="131"/>
      <c r="O12" s="2"/>
      <c r="P12" s="131"/>
      <c r="Q12" s="131"/>
      <c r="R12" s="2"/>
      <c r="S12" s="131"/>
      <c r="U12" s="2"/>
      <c r="V12" s="131"/>
      <c r="W12" s="131"/>
      <c r="X12" s="131"/>
      <c r="Y12" s="2"/>
      <c r="Z12" s="131"/>
      <c r="AA12" s="131"/>
      <c r="AB12" s="2"/>
      <c r="AC12" s="131"/>
      <c r="AE12" s="2"/>
      <c r="AF12" s="131"/>
      <c r="AG12" s="131"/>
      <c r="AH12" s="131"/>
      <c r="AI12" s="2"/>
      <c r="AJ12" s="131"/>
      <c r="AK12" s="131"/>
      <c r="AL12" s="2"/>
      <c r="AM12" s="131"/>
      <c r="AN12" s="2"/>
      <c r="AO12" s="2"/>
      <c r="AP12" s="131"/>
      <c r="AQ12" s="131"/>
      <c r="AR12" s="131"/>
      <c r="AS12" s="2"/>
      <c r="AT12" s="131"/>
      <c r="AU12" s="131"/>
      <c r="AV12" s="2"/>
      <c r="AW12" s="131"/>
      <c r="AX12" s="2"/>
      <c r="AY12" s="2"/>
      <c r="AZ12" s="131"/>
      <c r="BA12" s="131"/>
      <c r="BB12" s="131"/>
      <c r="BC12" s="2"/>
      <c r="BD12" s="131"/>
      <c r="BE12" s="131"/>
      <c r="BF12" s="2"/>
      <c r="BG12" s="131"/>
    </row>
    <row r="13" spans="1:59" ht="13.2">
      <c r="A13" s="2"/>
      <c r="B13" s="132" t="s">
        <v>519</v>
      </c>
      <c r="C13" s="132" t="s">
        <v>520</v>
      </c>
      <c r="D13" s="132" t="s">
        <v>521</v>
      </c>
      <c r="E13" s="2"/>
      <c r="F13" s="132" t="s">
        <v>411</v>
      </c>
      <c r="G13" s="132" t="s">
        <v>522</v>
      </c>
      <c r="H13" s="2"/>
      <c r="I13" s="132" t="s">
        <v>523</v>
      </c>
      <c r="J13" s="2"/>
      <c r="K13" s="2"/>
      <c r="L13" s="131"/>
      <c r="M13" s="131"/>
      <c r="N13" s="131"/>
      <c r="O13" s="2"/>
      <c r="P13" s="131"/>
      <c r="Q13" s="131"/>
      <c r="R13" s="2"/>
      <c r="S13" s="131"/>
      <c r="U13" s="2"/>
      <c r="V13" s="131"/>
      <c r="W13" s="131"/>
      <c r="X13" s="131"/>
      <c r="Y13" s="2"/>
      <c r="Z13" s="131"/>
      <c r="AA13" s="131"/>
      <c r="AB13" s="2"/>
      <c r="AC13" s="131"/>
      <c r="AE13" s="2"/>
      <c r="AF13" s="131"/>
      <c r="AG13" s="131"/>
      <c r="AH13" s="131"/>
      <c r="AI13" s="2"/>
      <c r="AJ13" s="131"/>
      <c r="AK13" s="131"/>
      <c r="AL13" s="2"/>
      <c r="AM13" s="131"/>
      <c r="AN13" s="2"/>
      <c r="AO13" s="2"/>
      <c r="AP13" s="131"/>
      <c r="AQ13" s="131"/>
      <c r="AR13" s="131"/>
      <c r="AS13" s="2"/>
      <c r="AT13" s="131"/>
      <c r="AU13" s="131"/>
      <c r="AV13" s="2"/>
      <c r="AW13" s="131"/>
      <c r="AX13" s="2"/>
      <c r="AY13" s="2"/>
      <c r="AZ13" s="131"/>
      <c r="BA13" s="131"/>
      <c r="BB13" s="131"/>
      <c r="BC13" s="2"/>
      <c r="BD13" s="131"/>
      <c r="BE13" s="131"/>
      <c r="BF13" s="2"/>
      <c r="BG13" s="131"/>
    </row>
    <row r="14" spans="1:59" ht="13.2">
      <c r="A14" s="236" t="s">
        <v>5</v>
      </c>
      <c r="B14" s="240">
        <f>HLOOKUP($B$11,$B$3:$G$6,MATCH(A14,$A$4:$A$6,0)+1)</f>
        <v>0</v>
      </c>
      <c r="C14" s="241">
        <f t="shared" ref="C14:C16" si="0">B14*$B$8* 8760*$B82</f>
        <v>0</v>
      </c>
      <c r="D14" s="241">
        <f>B14*(1-$B$8)* 8760*'Rooftop Solar'!$D$11</f>
        <v>0</v>
      </c>
      <c r="E14" s="2"/>
      <c r="F14" s="243">
        <f ca="1">SUMIFS(OFFSET('Projections by County'!$D$10:$D$36,0,$B$11-'Projections by County'!$D$9),'Projections by County'!$A$10:$A$36,$A14,'Projections by County'!$C$10:$C$36,"Electricity (kWh)")/1000000</f>
        <v>1929.2844828235156</v>
      </c>
      <c r="G14" s="243">
        <f t="shared" ref="G14:G16" ca="1" si="1">F14-SUM(C14:D14)</f>
        <v>1929.2844828235156</v>
      </c>
      <c r="H14" s="2"/>
      <c r="I14" s="243">
        <f ca="1">VLOOKUP("Electricity",emission_factors,$B$11-'Emissions Factors'!$E$50+3,FALSE)*(F14-G14)</f>
        <v>0</v>
      </c>
      <c r="J14" s="2"/>
      <c r="K14" s="2"/>
      <c r="L14" s="133"/>
      <c r="M14" s="102"/>
      <c r="N14" s="102"/>
      <c r="O14" s="2"/>
      <c r="P14" s="24"/>
      <c r="Q14" s="24"/>
      <c r="R14" s="2"/>
      <c r="S14" s="24"/>
      <c r="U14" s="2"/>
      <c r="V14" s="133"/>
      <c r="W14" s="102"/>
      <c r="X14" s="102"/>
      <c r="Y14" s="2"/>
      <c r="Z14" s="24"/>
      <c r="AA14" s="24"/>
      <c r="AB14" s="2"/>
      <c r="AC14" s="24"/>
      <c r="AE14" s="2"/>
      <c r="AF14" s="133"/>
      <c r="AG14" s="102"/>
      <c r="AH14" s="102"/>
      <c r="AI14" s="2"/>
      <c r="AJ14" s="24"/>
      <c r="AK14" s="24"/>
      <c r="AL14" s="2"/>
      <c r="AM14" s="24"/>
      <c r="AN14" s="24"/>
      <c r="AO14" s="2"/>
      <c r="AP14" s="133"/>
      <c r="AQ14" s="102"/>
      <c r="AR14" s="102"/>
      <c r="AS14" s="2"/>
      <c r="AT14" s="24"/>
      <c r="AU14" s="24"/>
      <c r="AV14" s="2"/>
      <c r="AW14" s="24"/>
      <c r="AX14" s="24"/>
      <c r="AY14" s="2"/>
      <c r="AZ14" s="133"/>
      <c r="BA14" s="102"/>
      <c r="BB14" s="102"/>
      <c r="BC14" s="2"/>
      <c r="BD14" s="24"/>
      <c r="BE14" s="24"/>
      <c r="BF14" s="2"/>
      <c r="BG14" s="24"/>
    </row>
    <row r="15" spans="1:59" ht="13.2">
      <c r="A15" s="236" t="s">
        <v>9</v>
      </c>
      <c r="B15" s="240">
        <f>HLOOKUP($B$11,$B$3:$G$6,MATCH(A15,$A$4:$A$6,0)+1)</f>
        <v>0</v>
      </c>
      <c r="C15" s="241">
        <f t="shared" si="0"/>
        <v>0</v>
      </c>
      <c r="D15" s="241">
        <f>B15*(1-$B$8)* 8760*'Rooftop Solar'!$D$11</f>
        <v>0</v>
      </c>
      <c r="E15" s="107"/>
      <c r="F15" s="243">
        <f ca="1">SUMIFS(OFFSET('Projections by County'!$D$10:$D$36,0,$B$11-'Projections by County'!$D$9),'Projections by County'!$A$10:$A$36,$A15,'Projections by County'!$C$10:$C$36,"Electricity (kWh)")/1000000</f>
        <v>2211.4015048742845</v>
      </c>
      <c r="G15" s="243">
        <f t="shared" ca="1" si="1"/>
        <v>2211.4015048742845</v>
      </c>
      <c r="H15" s="2"/>
      <c r="I15" s="243">
        <f ca="1">VLOOKUP("Electricity",emission_factors,$B$11-'Emissions Factors'!$E$50+3,FALSE)*(F15-G15)</f>
        <v>0</v>
      </c>
      <c r="J15" s="2"/>
      <c r="K15" s="2"/>
      <c r="L15" s="133"/>
      <c r="M15" s="102"/>
      <c r="N15" s="102"/>
      <c r="O15" s="107"/>
      <c r="P15" s="24"/>
      <c r="Q15" s="24"/>
      <c r="R15" s="2"/>
      <c r="S15" s="24"/>
      <c r="U15" s="2"/>
      <c r="V15" s="133"/>
      <c r="W15" s="102"/>
      <c r="X15" s="102"/>
      <c r="Y15" s="107"/>
      <c r="Z15" s="24"/>
      <c r="AA15" s="24"/>
      <c r="AB15" s="2"/>
      <c r="AC15" s="24"/>
      <c r="AE15" s="2"/>
      <c r="AF15" s="133"/>
      <c r="AG15" s="102"/>
      <c r="AH15" s="102"/>
      <c r="AI15" s="107"/>
      <c r="AJ15" s="24"/>
      <c r="AK15" s="24"/>
      <c r="AL15" s="2"/>
      <c r="AM15" s="24"/>
      <c r="AN15" s="24"/>
      <c r="AO15" s="2"/>
      <c r="AP15" s="133"/>
      <c r="AQ15" s="102"/>
      <c r="AR15" s="102"/>
      <c r="AS15" s="107"/>
      <c r="AT15" s="24"/>
      <c r="AU15" s="24"/>
      <c r="AV15" s="2"/>
      <c r="AW15" s="24"/>
      <c r="AX15" s="24"/>
      <c r="AY15" s="2"/>
      <c r="AZ15" s="133"/>
      <c r="BA15" s="102"/>
      <c r="BB15" s="102"/>
      <c r="BC15" s="107"/>
      <c r="BD15" s="24"/>
      <c r="BE15" s="24"/>
      <c r="BF15" s="2"/>
      <c r="BG15" s="24"/>
    </row>
    <row r="16" spans="1:59" ht="13.2">
      <c r="A16" s="242" t="s">
        <v>10</v>
      </c>
      <c r="B16" s="240">
        <f>HLOOKUP($B$11,$B$3:$G$6,MATCH(A16,$A$4:$A$6,0)+1)</f>
        <v>0.125</v>
      </c>
      <c r="C16" s="241">
        <f t="shared" si="0"/>
        <v>160.08991425345417</v>
      </c>
      <c r="D16" s="241">
        <f>B16*(1-$B$8)* 8760*'Rooftop Solar'!$D$11</f>
        <v>21.233974358974361</v>
      </c>
      <c r="E16" s="2"/>
      <c r="F16" s="243">
        <f ca="1">SUMIFS(OFFSET('Projections by County'!$D$10:$D$36,0,$B$11-'Projections by County'!$D$9),'Projections by County'!$A$10:$A$36,$A16,'Projections by County'!$C$10:$C$36,"Electricity (kWh)")/1000000</f>
        <v>6433.207975076497</v>
      </c>
      <c r="G16" s="243">
        <f t="shared" ca="1" si="1"/>
        <v>6251.8840864640688</v>
      </c>
      <c r="H16" s="2"/>
      <c r="I16" s="243">
        <f ca="1">VLOOKUP("Electricity",emission_factors,$B$11-'Emissions Factors'!$E$50+3,FALSE)*(F16-G16)</f>
        <v>62896.963437377723</v>
      </c>
      <c r="J16" s="2"/>
      <c r="K16" s="9"/>
      <c r="L16" s="133"/>
      <c r="M16" s="102"/>
      <c r="N16" s="102"/>
      <c r="O16" s="2"/>
      <c r="P16" s="24"/>
      <c r="Q16" s="24"/>
      <c r="R16" s="2"/>
      <c r="S16" s="24"/>
      <c r="U16" s="9"/>
      <c r="V16" s="133"/>
      <c r="W16" s="102"/>
      <c r="X16" s="102"/>
      <c r="Y16" s="2"/>
      <c r="Z16" s="24"/>
      <c r="AA16" s="24"/>
      <c r="AB16" s="2"/>
      <c r="AC16" s="24"/>
      <c r="AE16" s="9"/>
      <c r="AF16" s="133"/>
      <c r="AG16" s="102"/>
      <c r="AH16" s="102"/>
      <c r="AI16" s="2"/>
      <c r="AJ16" s="24"/>
      <c r="AK16" s="24"/>
      <c r="AL16" s="2"/>
      <c r="AM16" s="24"/>
      <c r="AN16" s="24"/>
      <c r="AO16" s="9"/>
      <c r="AP16" s="133"/>
      <c r="AQ16" s="102"/>
      <c r="AR16" s="102"/>
      <c r="AS16" s="2"/>
      <c r="AT16" s="24"/>
      <c r="AU16" s="24"/>
      <c r="AV16" s="2"/>
      <c r="AW16" s="24"/>
      <c r="AX16" s="24"/>
      <c r="AY16" s="9"/>
      <c r="AZ16" s="133"/>
      <c r="BA16" s="102"/>
      <c r="BB16" s="102"/>
      <c r="BC16" s="2"/>
      <c r="BD16" s="24"/>
      <c r="BE16" s="24"/>
      <c r="BF16" s="2"/>
      <c r="BG16" s="24"/>
    </row>
    <row r="17" spans="1:59" ht="15.75" customHeight="1">
      <c r="A17" s="134"/>
      <c r="B17" s="24"/>
      <c r="C17" s="24"/>
      <c r="D17" s="24"/>
      <c r="E17" s="2"/>
      <c r="F17" s="24"/>
      <c r="G17" s="24"/>
      <c r="H17" s="2"/>
      <c r="I17" s="24"/>
      <c r="J17" s="2"/>
      <c r="K17" s="134"/>
      <c r="L17" s="24"/>
      <c r="M17" s="24"/>
      <c r="N17" s="24"/>
      <c r="O17" s="2"/>
      <c r="P17" s="24"/>
      <c r="Q17" s="24"/>
      <c r="R17" s="2"/>
      <c r="S17" s="24"/>
      <c r="U17" s="134"/>
      <c r="V17" s="24"/>
      <c r="W17" s="24"/>
      <c r="X17" s="24"/>
      <c r="Y17" s="2"/>
      <c r="Z17" s="24"/>
      <c r="AA17" s="102"/>
      <c r="AB17" s="2"/>
      <c r="AC17" s="24"/>
      <c r="AE17" s="134"/>
      <c r="AF17" s="24"/>
      <c r="AG17" s="24"/>
      <c r="AH17" s="24"/>
      <c r="AI17" s="2"/>
      <c r="AJ17" s="24"/>
      <c r="AK17" s="24"/>
      <c r="AL17" s="2"/>
      <c r="AM17" s="24"/>
      <c r="AN17" s="24"/>
      <c r="AO17" s="134"/>
      <c r="AP17" s="24"/>
      <c r="AQ17" s="24"/>
      <c r="AR17" s="24"/>
      <c r="AS17" s="2"/>
      <c r="AT17" s="24"/>
      <c r="AU17" s="24"/>
      <c r="AV17" s="2"/>
      <c r="AW17" s="24"/>
      <c r="AX17" s="24"/>
      <c r="AY17" s="134"/>
      <c r="AZ17" s="24"/>
      <c r="BA17" s="24"/>
      <c r="BB17" s="24"/>
      <c r="BC17" s="2"/>
      <c r="BD17" s="24"/>
      <c r="BE17" s="24"/>
      <c r="BF17" s="2"/>
      <c r="BG17" s="24"/>
    </row>
    <row r="18" spans="1:59" ht="63" customHeight="1">
      <c r="A18" s="134"/>
      <c r="B18" s="24"/>
      <c r="C18" s="24"/>
      <c r="D18" s="24"/>
      <c r="E18" s="2"/>
      <c r="F18" s="24"/>
      <c r="G18" s="24"/>
      <c r="H18" s="2"/>
      <c r="I18" s="207" t="s">
        <v>524</v>
      </c>
      <c r="J18" s="134"/>
      <c r="K18" s="134"/>
      <c r="L18" s="24"/>
      <c r="M18" s="24"/>
      <c r="N18" s="24"/>
      <c r="O18" s="2"/>
      <c r="P18" s="24"/>
      <c r="Q18" s="24"/>
      <c r="R18" s="2"/>
      <c r="S18" s="131"/>
      <c r="U18" s="134"/>
      <c r="V18" s="24"/>
      <c r="W18" s="24"/>
      <c r="X18" s="24"/>
      <c r="Y18" s="2"/>
      <c r="Z18" s="24"/>
      <c r="AB18" s="2"/>
      <c r="AC18" s="131"/>
      <c r="AE18" s="134"/>
      <c r="AF18" s="24"/>
      <c r="AG18" s="24"/>
      <c r="AH18" s="24"/>
      <c r="AI18" s="2"/>
      <c r="AJ18" s="24"/>
      <c r="AK18" s="24"/>
      <c r="AL18" s="2"/>
      <c r="AM18" s="131"/>
      <c r="AN18" s="24"/>
      <c r="AO18" s="134"/>
      <c r="AP18" s="24"/>
      <c r="AQ18" s="24"/>
      <c r="AR18" s="24"/>
      <c r="AS18" s="2"/>
      <c r="AT18" s="24"/>
      <c r="AU18" s="24"/>
      <c r="AV18" s="2"/>
      <c r="AW18" s="131"/>
      <c r="AX18" s="24"/>
      <c r="AY18" s="134"/>
      <c r="AZ18" s="24"/>
      <c r="BA18" s="24"/>
      <c r="BB18" s="24"/>
      <c r="BC18" s="2"/>
      <c r="BD18" s="24"/>
      <c r="BE18" s="24"/>
      <c r="BF18" s="2"/>
      <c r="BG18" s="131"/>
    </row>
    <row r="19" spans="1:59" ht="15.75" customHeight="1">
      <c r="A19" s="134"/>
      <c r="B19" s="24"/>
      <c r="C19" s="24"/>
      <c r="D19" s="24"/>
      <c r="E19" s="2"/>
      <c r="F19" s="24"/>
      <c r="G19" s="24"/>
      <c r="H19" s="2"/>
      <c r="I19" s="132" t="s">
        <v>525</v>
      </c>
      <c r="J19" s="2"/>
      <c r="K19" s="134"/>
      <c r="L19" s="24"/>
      <c r="M19" s="24"/>
      <c r="N19" s="24"/>
      <c r="O19" s="2"/>
      <c r="P19" s="24"/>
      <c r="Q19" s="24"/>
      <c r="R19" s="2"/>
      <c r="S19" s="102"/>
      <c r="U19" s="134"/>
      <c r="V19" s="24"/>
      <c r="W19" s="24"/>
      <c r="X19" s="24"/>
      <c r="Y19" s="2"/>
      <c r="Z19" s="24"/>
      <c r="AB19" s="2"/>
      <c r="AC19" s="102"/>
      <c r="AE19" s="134"/>
      <c r="AF19" s="24"/>
      <c r="AG19" s="24"/>
      <c r="AH19" s="24"/>
      <c r="AI19" s="2"/>
      <c r="AJ19" s="24"/>
      <c r="AK19" s="24"/>
      <c r="AL19" s="2"/>
      <c r="AM19" s="102"/>
      <c r="AN19" s="24"/>
      <c r="AO19" s="134"/>
      <c r="AP19" s="24"/>
      <c r="AQ19" s="24"/>
      <c r="AR19" s="24"/>
      <c r="AS19" s="2"/>
      <c r="AT19" s="24"/>
      <c r="AU19" s="24"/>
      <c r="AV19" s="2"/>
      <c r="AW19" s="102"/>
      <c r="AX19" s="24"/>
      <c r="AY19" s="134"/>
      <c r="AZ19" s="24"/>
      <c r="BA19" s="24"/>
      <c r="BB19" s="24"/>
      <c r="BC19" s="2"/>
      <c r="BD19" s="24"/>
      <c r="BE19" s="24"/>
      <c r="BF19" s="2"/>
      <c r="BG19" s="102"/>
    </row>
    <row r="20" spans="1:59" ht="15.75" customHeight="1">
      <c r="A20" s="134"/>
      <c r="B20" s="24"/>
      <c r="C20" s="24"/>
      <c r="D20" s="24"/>
      <c r="E20" s="2"/>
      <c r="F20" s="24"/>
      <c r="G20" s="24"/>
      <c r="H20" s="2"/>
      <c r="I20" s="102">
        <f ca="1">SUM(G14:G16)/SUM(F14:F16)*HLOOKUP(B11,'Emissions Factors'!$E$50:$AH$51,2)</f>
        <v>340.92799572159521</v>
      </c>
      <c r="J20" s="2"/>
      <c r="K20" s="134"/>
      <c r="L20" s="24"/>
      <c r="M20" s="24"/>
      <c r="N20" s="24"/>
      <c r="O20" s="2"/>
      <c r="P20" s="24"/>
      <c r="Q20" s="24"/>
      <c r="R20" s="2"/>
      <c r="S20" s="24"/>
      <c r="U20" s="134"/>
      <c r="V20" s="24"/>
      <c r="W20" s="24"/>
      <c r="X20" s="24"/>
      <c r="Y20" s="2"/>
      <c r="Z20" s="24"/>
      <c r="AA20" s="24"/>
      <c r="AB20" s="2"/>
      <c r="AC20" s="24"/>
      <c r="AE20" s="134"/>
      <c r="AF20" s="24"/>
      <c r="AG20" s="24"/>
      <c r="AH20" s="24"/>
      <c r="AI20" s="2"/>
      <c r="AJ20" s="24"/>
      <c r="AK20" s="24"/>
      <c r="AL20" s="2"/>
      <c r="AM20" s="24"/>
      <c r="AN20" s="24"/>
      <c r="AO20" s="134"/>
      <c r="AP20" s="24"/>
      <c r="AQ20" s="24"/>
      <c r="AR20" s="24"/>
      <c r="AS20" s="2"/>
      <c r="AT20" s="24"/>
      <c r="AU20" s="24"/>
      <c r="AV20" s="2"/>
      <c r="AW20" s="24"/>
      <c r="AX20" s="24"/>
      <c r="AY20" s="134"/>
      <c r="AZ20" s="24"/>
      <c r="BA20" s="24"/>
      <c r="BB20" s="24"/>
      <c r="BC20" s="2"/>
      <c r="BD20" s="24"/>
      <c r="BE20" s="24"/>
      <c r="BF20" s="2"/>
      <c r="BG20" s="24"/>
    </row>
    <row r="21" spans="1:59" ht="15.75" customHeight="1">
      <c r="A21" s="134"/>
      <c r="B21" s="24"/>
      <c r="C21" s="24"/>
      <c r="D21" s="24"/>
      <c r="E21" s="2"/>
      <c r="F21" s="24"/>
      <c r="G21" s="24"/>
      <c r="H21" s="2"/>
      <c r="I21" s="24"/>
      <c r="J21" s="2"/>
      <c r="K21" s="134"/>
      <c r="L21" s="24"/>
      <c r="M21" s="24"/>
      <c r="N21" s="24"/>
      <c r="O21" s="2"/>
      <c r="P21" s="24"/>
      <c r="Q21" s="24"/>
      <c r="R21" s="2"/>
      <c r="S21" s="24"/>
      <c r="U21" s="134"/>
      <c r="V21" s="24"/>
      <c r="W21" s="24"/>
      <c r="X21" s="24"/>
      <c r="Y21" s="2"/>
      <c r="Z21" s="24"/>
      <c r="AA21" s="24"/>
      <c r="AB21" s="2"/>
      <c r="AC21" s="24"/>
      <c r="AE21" s="134"/>
      <c r="AF21" s="24"/>
      <c r="AG21" s="24"/>
      <c r="AH21" s="24"/>
      <c r="AI21" s="2"/>
      <c r="AJ21" s="24"/>
      <c r="AK21" s="24"/>
      <c r="AL21" s="2"/>
      <c r="AM21" s="24"/>
      <c r="AN21" s="24"/>
      <c r="AO21" s="134"/>
      <c r="AP21" s="24"/>
      <c r="AQ21" s="24"/>
      <c r="AR21" s="24"/>
      <c r="AS21" s="2"/>
      <c r="AT21" s="24"/>
      <c r="AU21" s="24"/>
      <c r="AV21" s="2"/>
      <c r="AW21" s="24"/>
      <c r="AX21" s="24"/>
      <c r="AY21" s="134"/>
      <c r="AZ21" s="24"/>
      <c r="BA21" s="24"/>
      <c r="BB21" s="24"/>
      <c r="BC21" s="2"/>
      <c r="BD21" s="24"/>
      <c r="BE21" s="24"/>
      <c r="BF21" s="2"/>
      <c r="BG21" s="24"/>
    </row>
    <row r="22" spans="1:59" ht="13.2">
      <c r="A22" s="23" t="s">
        <v>526</v>
      </c>
      <c r="B22" s="135">
        <f>SUM(B14:B21)</f>
        <v>0.125</v>
      </c>
      <c r="C22" s="9"/>
      <c r="D22" s="9"/>
      <c r="E22" s="2"/>
      <c r="F22" s="2"/>
      <c r="G22" s="2"/>
      <c r="H22" s="2"/>
      <c r="I22" s="2"/>
      <c r="J22" s="2"/>
      <c r="K22" s="23"/>
      <c r="L22" s="136"/>
      <c r="M22" s="9"/>
      <c r="N22" s="9"/>
      <c r="O22" s="2"/>
      <c r="P22" s="2"/>
      <c r="Q22" s="2"/>
      <c r="R22" s="2"/>
      <c r="S22" s="2"/>
      <c r="U22" s="23"/>
      <c r="V22" s="136"/>
      <c r="W22" s="9"/>
      <c r="X22" s="9"/>
      <c r="Y22" s="2"/>
      <c r="Z22" s="2"/>
      <c r="AA22" s="2"/>
      <c r="AB22" s="2"/>
      <c r="AC22" s="2"/>
      <c r="AE22" s="23"/>
      <c r="AF22" s="136"/>
      <c r="AG22" s="9"/>
      <c r="AH22" s="9"/>
      <c r="AI22" s="2"/>
      <c r="AJ22" s="2"/>
      <c r="AK22" s="2"/>
      <c r="AL22" s="2"/>
      <c r="AM22" s="2"/>
      <c r="AN22" s="2"/>
      <c r="AO22" s="23"/>
      <c r="AP22" s="136"/>
      <c r="AQ22" s="9"/>
      <c r="AR22" s="9"/>
      <c r="AS22" s="2"/>
      <c r="AT22" s="2"/>
      <c r="AU22" s="2"/>
      <c r="AV22" s="2"/>
      <c r="AW22" s="2"/>
      <c r="AX22" s="2"/>
      <c r="AY22" s="23"/>
      <c r="AZ22" s="136"/>
      <c r="BA22" s="9"/>
      <c r="BB22" s="9"/>
      <c r="BC22" s="2"/>
      <c r="BD22" s="2"/>
      <c r="BE22" s="2"/>
      <c r="BF22" s="2"/>
      <c r="BG22" s="2"/>
    </row>
    <row r="23" spans="1:59" ht="13.2">
      <c r="A23" s="24" t="s">
        <v>527</v>
      </c>
      <c r="B23" s="137">
        <f>SUM(C14:D16)</f>
        <v>181.32388861242853</v>
      </c>
      <c r="C23" s="9"/>
      <c r="D23" s="9"/>
      <c r="E23" s="2"/>
      <c r="F23" s="2"/>
      <c r="K23" s="24"/>
      <c r="L23" s="137"/>
      <c r="M23" s="9"/>
      <c r="N23" s="9"/>
      <c r="O23" s="2"/>
      <c r="P23" s="2"/>
      <c r="U23" s="24"/>
      <c r="V23" s="137"/>
      <c r="W23" s="9"/>
      <c r="X23" s="9"/>
      <c r="Y23" s="2"/>
      <c r="Z23" s="2"/>
      <c r="AE23" s="24"/>
      <c r="AF23" s="137"/>
      <c r="AG23" s="9"/>
      <c r="AH23" s="9"/>
      <c r="AI23" s="2"/>
      <c r="AJ23" s="2"/>
      <c r="AO23" s="24"/>
      <c r="AP23" s="137"/>
      <c r="AQ23" s="9"/>
      <c r="AR23" s="9"/>
      <c r="AS23" s="2"/>
      <c r="AT23" s="2"/>
      <c r="AY23" s="24"/>
      <c r="AZ23" s="137"/>
      <c r="BA23" s="9"/>
      <c r="BB23" s="9"/>
      <c r="BC23" s="2"/>
      <c r="BD23" s="2"/>
    </row>
    <row r="24" spans="1:59" ht="13.2">
      <c r="A24" s="2"/>
      <c r="B24" s="138"/>
      <c r="C24" s="2"/>
      <c r="D24" s="2"/>
      <c r="E24" s="2"/>
      <c r="F24" s="2"/>
      <c r="G24" s="2"/>
      <c r="H24" s="2"/>
      <c r="I24" s="2"/>
      <c r="J24" s="2"/>
      <c r="K24" s="2"/>
      <c r="L24" s="9"/>
    </row>
    <row r="25" spans="1:59" ht="13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9"/>
    </row>
    <row r="26" spans="1:59" ht="13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9"/>
    </row>
    <row r="27" spans="1:59" s="248" customFormat="1" ht="13.2">
      <c r="A27" s="246" t="s">
        <v>491</v>
      </c>
      <c r="B27" s="247"/>
      <c r="C27" s="246"/>
      <c r="D27" s="247"/>
      <c r="E27" s="247"/>
      <c r="F27" s="246"/>
      <c r="G27" s="246"/>
      <c r="H27" s="246"/>
      <c r="I27" s="246"/>
      <c r="J27" s="246"/>
      <c r="K27" s="246"/>
      <c r="L27" s="246"/>
      <c r="M27" s="246"/>
      <c r="N27" s="246"/>
      <c r="O27" s="246"/>
      <c r="P27" s="246"/>
      <c r="Q27" s="247"/>
    </row>
    <row r="28" spans="1:59" ht="13.2">
      <c r="B28" s="163">
        <v>2026</v>
      </c>
      <c r="C28" s="163">
        <v>2027</v>
      </c>
      <c r="D28" s="163">
        <v>2028</v>
      </c>
      <c r="E28" s="164">
        <v>2029</v>
      </c>
      <c r="F28" s="163">
        <v>2030</v>
      </c>
      <c r="G28" s="163">
        <v>2050</v>
      </c>
      <c r="H28" s="2"/>
      <c r="I28" s="2"/>
      <c r="J28" s="2"/>
      <c r="K28" s="2"/>
      <c r="L28" s="2"/>
      <c r="M28" s="2"/>
      <c r="N28" s="2"/>
      <c r="O28" s="2"/>
      <c r="P28" s="2"/>
      <c r="Q28" s="9"/>
    </row>
    <row r="29" spans="1:59" ht="13.2">
      <c r="A29" s="2" t="s">
        <v>528</v>
      </c>
      <c r="B29" s="141">
        <f>SUM(B4:B6)*$B$8*1000</f>
        <v>8.5</v>
      </c>
      <c r="C29" s="2">
        <f>(SUM(C4:C6)-SUM(B4:B6))*$B$8* 1000</f>
        <v>12.750000000000002</v>
      </c>
      <c r="D29" s="2">
        <f>(SUM(D4:D6)-SUM(C4:C6))*$B$8* 1000</f>
        <v>21.25</v>
      </c>
      <c r="E29" s="2">
        <f>(SUM(E4:E6)-SUM(D4:D6))*$B$8* 1000</f>
        <v>42.5</v>
      </c>
      <c r="F29" s="2">
        <f>(SUM(F4:F6)-SUM(E4:E6))*$B$8* 1000</f>
        <v>21.249999999999993</v>
      </c>
      <c r="G29" s="2">
        <f>(SUM(G4:G6)-SUM(F4:F6))*$B$8* 1000</f>
        <v>0</v>
      </c>
      <c r="H29" s="2"/>
      <c r="I29" s="2"/>
      <c r="J29" s="2"/>
      <c r="K29" s="2"/>
      <c r="L29" s="2"/>
      <c r="M29" s="2"/>
      <c r="N29" s="2"/>
      <c r="O29" s="2"/>
      <c r="P29" s="2"/>
      <c r="Q29" s="9"/>
    </row>
    <row r="30" spans="1:59" ht="13.2">
      <c r="A30" s="2" t="s">
        <v>529</v>
      </c>
      <c r="B30" s="141">
        <f>B29</f>
        <v>8.5</v>
      </c>
      <c r="C30" s="141">
        <f t="shared" ref="C30:G30" si="2">B30+C29</f>
        <v>21.25</v>
      </c>
      <c r="D30" s="141">
        <f t="shared" si="2"/>
        <v>42.5</v>
      </c>
      <c r="E30" s="141">
        <f t="shared" si="2"/>
        <v>85</v>
      </c>
      <c r="F30" s="141">
        <f t="shared" si="2"/>
        <v>106.25</v>
      </c>
      <c r="G30" s="141">
        <f t="shared" si="2"/>
        <v>106.25</v>
      </c>
      <c r="H30" s="2"/>
      <c r="I30" s="2"/>
      <c r="J30" s="2"/>
      <c r="K30" s="2"/>
      <c r="L30" s="2"/>
      <c r="M30" s="2"/>
      <c r="N30" s="2"/>
      <c r="O30" s="2"/>
      <c r="P30" s="2"/>
      <c r="Q30" s="9"/>
    </row>
    <row r="31" spans="1:59" ht="13.2">
      <c r="A31" s="2" t="s">
        <v>530</v>
      </c>
      <c r="B31" s="142">
        <f t="shared" ref="B31:G31" si="3">B29*1000*B45</f>
        <v>10251000</v>
      </c>
      <c r="C31" s="142">
        <f t="shared" si="3"/>
        <v>14841000.000000002</v>
      </c>
      <c r="D31" s="142">
        <f t="shared" si="3"/>
        <v>23842500</v>
      </c>
      <c r="E31" s="142">
        <f t="shared" si="3"/>
        <v>45900000</v>
      </c>
      <c r="F31" s="142">
        <f t="shared" si="3"/>
        <v>22057499.999999993</v>
      </c>
      <c r="G31" s="142">
        <f t="shared" si="3"/>
        <v>0</v>
      </c>
      <c r="H31" s="142">
        <f t="shared" ref="H31:H33" si="4">SUM(B31:G31)</f>
        <v>116892000</v>
      </c>
      <c r="I31" s="2"/>
      <c r="J31" s="2"/>
      <c r="K31" s="2"/>
      <c r="L31" s="2"/>
      <c r="M31" s="2"/>
      <c r="N31" s="2"/>
      <c r="O31" s="2"/>
      <c r="P31" s="2"/>
      <c r="Q31" s="9"/>
    </row>
    <row r="32" spans="1:59" ht="13.2">
      <c r="A32" s="2" t="s">
        <v>531</v>
      </c>
      <c r="B32" s="142">
        <f t="shared" ref="B32:G32" si="5">B30*1000*B46</f>
        <v>170000</v>
      </c>
      <c r="C32" s="142">
        <f t="shared" si="5"/>
        <v>403750</v>
      </c>
      <c r="D32" s="142">
        <f t="shared" si="5"/>
        <v>807500</v>
      </c>
      <c r="E32" s="142">
        <f t="shared" si="5"/>
        <v>1530000</v>
      </c>
      <c r="F32" s="142">
        <f t="shared" si="5"/>
        <v>1912500</v>
      </c>
      <c r="G32" s="142">
        <f t="shared" si="5"/>
        <v>1381250</v>
      </c>
      <c r="H32" s="142">
        <f t="shared" si="4"/>
        <v>6205000</v>
      </c>
      <c r="I32" s="2"/>
      <c r="J32" s="2"/>
      <c r="K32" s="2"/>
      <c r="L32" s="2"/>
      <c r="M32" s="2"/>
      <c r="N32" s="2"/>
      <c r="O32" s="2"/>
      <c r="P32" s="2"/>
      <c r="Q32" s="9"/>
    </row>
    <row r="33" spans="1:17" ht="13.2">
      <c r="A33" s="2" t="s">
        <v>532</v>
      </c>
      <c r="B33" s="142">
        <f t="shared" ref="B33:G33" si="6">SUM(B31:B32)</f>
        <v>10421000</v>
      </c>
      <c r="C33" s="142">
        <f t="shared" si="6"/>
        <v>15244750.000000002</v>
      </c>
      <c r="D33" s="142">
        <f t="shared" si="6"/>
        <v>24650000</v>
      </c>
      <c r="E33" s="142">
        <f t="shared" si="6"/>
        <v>47430000</v>
      </c>
      <c r="F33" s="142">
        <f t="shared" si="6"/>
        <v>23969999.999999993</v>
      </c>
      <c r="G33" s="142">
        <f t="shared" si="6"/>
        <v>1381250</v>
      </c>
      <c r="H33" s="142">
        <f t="shared" si="4"/>
        <v>123097000</v>
      </c>
      <c r="I33" s="2"/>
      <c r="J33" s="2"/>
      <c r="K33" s="2"/>
      <c r="L33" s="2"/>
      <c r="M33" s="2"/>
      <c r="N33" s="2"/>
      <c r="O33" s="2"/>
      <c r="P33" s="2"/>
      <c r="Q33" s="9"/>
    </row>
    <row r="34" spans="1:17" ht="13.2">
      <c r="A34" s="2"/>
      <c r="B34" s="9"/>
      <c r="C34" s="2"/>
      <c r="D34" s="9"/>
      <c r="E34" s="9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9"/>
    </row>
    <row r="35" spans="1:17" ht="13.2">
      <c r="A35" s="2" t="s">
        <v>533</v>
      </c>
      <c r="B35" s="141">
        <f>SUM(B4:B6)*(1-$B$8)*1000</f>
        <v>1.5000000000000002</v>
      </c>
      <c r="C35" s="141">
        <f>(SUM(C4:C6)-SUM(B4:B6))*(1-$B$8)*1000</f>
        <v>2.2500000000000009</v>
      </c>
      <c r="D35" s="141">
        <f>(SUM(D4:D6)-SUM(C4:C6))*(1-$B$8)*1000</f>
        <v>3.7500000000000009</v>
      </c>
      <c r="E35" s="141">
        <f>(SUM(E4:E6)-SUM(D4:D6))*(1-$B$8)*1000</f>
        <v>7.5000000000000018</v>
      </c>
      <c r="F35" s="141">
        <f>(SUM(F4:F6)-SUM(E4:E6))*(1-$B$8)*1000</f>
        <v>3.75</v>
      </c>
      <c r="G35" s="141">
        <f>(SUM(G4:G6)-SUM(F4:F6))*(1-$B$8)*1000</f>
        <v>0</v>
      </c>
      <c r="H35" s="2"/>
      <c r="I35" s="2"/>
      <c r="J35" s="2"/>
      <c r="K35" s="2"/>
      <c r="L35" s="2"/>
      <c r="M35" s="2"/>
      <c r="N35" s="2"/>
      <c r="O35" s="2"/>
      <c r="P35" s="2"/>
      <c r="Q35" s="9"/>
    </row>
    <row r="36" spans="1:17" ht="13.2">
      <c r="A36" s="2" t="s">
        <v>534</v>
      </c>
      <c r="B36" s="141">
        <f>B35</f>
        <v>1.5000000000000002</v>
      </c>
      <c r="C36" s="141">
        <f t="shared" ref="C36:G36" si="7">B36+C35</f>
        <v>3.7500000000000009</v>
      </c>
      <c r="D36" s="141">
        <f t="shared" si="7"/>
        <v>7.5000000000000018</v>
      </c>
      <c r="E36" s="141">
        <f t="shared" si="7"/>
        <v>15.000000000000004</v>
      </c>
      <c r="F36" s="141">
        <f t="shared" si="7"/>
        <v>18.750000000000004</v>
      </c>
      <c r="G36" s="141">
        <f t="shared" si="7"/>
        <v>18.750000000000004</v>
      </c>
      <c r="H36" s="2"/>
      <c r="I36" s="2"/>
      <c r="J36" s="2"/>
      <c r="K36" s="2"/>
      <c r="L36" s="2"/>
      <c r="M36" s="2"/>
      <c r="N36" s="2"/>
      <c r="O36" s="2"/>
      <c r="P36" s="2"/>
      <c r="Q36" s="9"/>
    </row>
    <row r="37" spans="1:17" ht="13.2">
      <c r="A37" s="2" t="s">
        <v>530</v>
      </c>
      <c r="B37" s="142">
        <f t="shared" ref="B37:G37" si="8">B35*1000*B50</f>
        <v>2509500.0000000005</v>
      </c>
      <c r="C37" s="142">
        <f t="shared" si="8"/>
        <v>3633750.0000000014</v>
      </c>
      <c r="D37" s="142">
        <f t="shared" si="8"/>
        <v>5835000.0000000019</v>
      </c>
      <c r="E37" s="142">
        <f t="shared" si="8"/>
        <v>11235000.000000002</v>
      </c>
      <c r="F37" s="142">
        <f t="shared" si="8"/>
        <v>5400000</v>
      </c>
      <c r="G37" s="142">
        <f t="shared" si="8"/>
        <v>0</v>
      </c>
      <c r="H37" s="142">
        <f t="shared" ref="H37:H39" si="9">SUM(B37:G37)</f>
        <v>28613250.000000007</v>
      </c>
      <c r="I37" s="2"/>
      <c r="J37" s="2"/>
      <c r="K37" s="2"/>
      <c r="L37" s="2"/>
      <c r="M37" s="2"/>
      <c r="N37" s="2"/>
      <c r="O37" s="2"/>
      <c r="P37" s="2"/>
      <c r="Q37" s="9"/>
    </row>
    <row r="38" spans="1:17" ht="13.2">
      <c r="A38" s="2" t="s">
        <v>531</v>
      </c>
      <c r="B38" s="142">
        <f t="shared" ref="B38:G38" si="10">B36*1000*B46</f>
        <v>30000.000000000004</v>
      </c>
      <c r="C38" s="142">
        <f t="shared" si="10"/>
        <v>71250.000000000015</v>
      </c>
      <c r="D38" s="142">
        <f t="shared" si="10"/>
        <v>142500.00000000003</v>
      </c>
      <c r="E38" s="142">
        <f t="shared" si="10"/>
        <v>270000.00000000006</v>
      </c>
      <c r="F38" s="142">
        <f t="shared" si="10"/>
        <v>337500.00000000006</v>
      </c>
      <c r="G38" s="142">
        <f t="shared" si="10"/>
        <v>243750.00000000006</v>
      </c>
      <c r="H38" s="142">
        <f t="shared" si="9"/>
        <v>1095000.0000000002</v>
      </c>
      <c r="I38" s="2"/>
      <c r="J38" s="2"/>
      <c r="K38" s="2"/>
      <c r="L38" s="2"/>
      <c r="M38" s="2"/>
      <c r="N38" s="2"/>
      <c r="O38" s="2"/>
      <c r="P38" s="2"/>
      <c r="Q38" s="9"/>
    </row>
    <row r="39" spans="1:17" ht="13.2">
      <c r="A39" s="2" t="s">
        <v>535</v>
      </c>
      <c r="B39" s="142">
        <f t="shared" ref="B39:G39" si="11">SUM(B37:B38)</f>
        <v>2539500.0000000005</v>
      </c>
      <c r="C39" s="142">
        <f t="shared" si="11"/>
        <v>3705000.0000000014</v>
      </c>
      <c r="D39" s="142">
        <f t="shared" si="11"/>
        <v>5977500.0000000019</v>
      </c>
      <c r="E39" s="142">
        <f t="shared" si="11"/>
        <v>11505000.000000002</v>
      </c>
      <c r="F39" s="142">
        <f t="shared" si="11"/>
        <v>5737500</v>
      </c>
      <c r="G39" s="142">
        <f t="shared" si="11"/>
        <v>243750.00000000006</v>
      </c>
      <c r="H39" s="142">
        <f t="shared" si="9"/>
        <v>29708250.000000007</v>
      </c>
      <c r="I39" s="2"/>
      <c r="J39" s="2"/>
      <c r="K39" s="2"/>
      <c r="L39" s="2"/>
      <c r="M39" s="2"/>
      <c r="N39" s="2"/>
      <c r="O39" s="2"/>
      <c r="P39" s="2"/>
      <c r="Q39" s="9"/>
    </row>
    <row r="40" spans="1:17" ht="13.2">
      <c r="A40" s="2"/>
      <c r="B40" s="9"/>
      <c r="C40" s="2"/>
      <c r="D40" s="9"/>
      <c r="E40" s="9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9"/>
    </row>
    <row r="41" spans="1:17" ht="13.2">
      <c r="A41" s="2" t="s">
        <v>536</v>
      </c>
      <c r="B41" s="142">
        <f t="shared" ref="B41:G41" si="12">B33+B39</f>
        <v>12960500</v>
      </c>
      <c r="C41" s="142">
        <f t="shared" si="12"/>
        <v>18949750.000000004</v>
      </c>
      <c r="D41" s="142">
        <f t="shared" si="12"/>
        <v>30627500</v>
      </c>
      <c r="E41" s="142">
        <f t="shared" si="12"/>
        <v>58935000</v>
      </c>
      <c r="F41" s="142">
        <f t="shared" si="12"/>
        <v>29707499.999999993</v>
      </c>
      <c r="G41" s="142">
        <f t="shared" si="12"/>
        <v>1625000</v>
      </c>
      <c r="H41" s="142">
        <f>SUM(B41:G41)</f>
        <v>152805250</v>
      </c>
      <c r="I41" s="2"/>
      <c r="J41" s="2"/>
      <c r="K41" s="2"/>
      <c r="L41" s="2"/>
      <c r="M41" s="2"/>
      <c r="N41" s="2"/>
      <c r="O41" s="2"/>
      <c r="P41" s="2"/>
      <c r="Q41" s="9"/>
    </row>
    <row r="42" spans="1:17" ht="13.2">
      <c r="A42" s="2"/>
      <c r="B42" s="9"/>
      <c r="C42" s="2"/>
      <c r="D42" s="9"/>
      <c r="E42" s="9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9"/>
    </row>
    <row r="43" spans="1:17" ht="13.2">
      <c r="A43" s="2" t="s">
        <v>537</v>
      </c>
      <c r="B43" s="9"/>
      <c r="C43" s="2"/>
      <c r="D43" s="9"/>
      <c r="E43" s="9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9"/>
    </row>
    <row r="44" spans="1:17" ht="13.2">
      <c r="A44" s="2"/>
      <c r="B44" s="139">
        <v>2026</v>
      </c>
      <c r="C44" s="139">
        <v>2027</v>
      </c>
      <c r="D44" s="139">
        <v>2028</v>
      </c>
      <c r="E44" s="140">
        <v>2029</v>
      </c>
      <c r="F44" s="139">
        <v>2030</v>
      </c>
      <c r="G44" s="139">
        <v>2050</v>
      </c>
      <c r="H44" s="2"/>
      <c r="I44" s="2"/>
      <c r="J44" s="2"/>
      <c r="K44" s="2"/>
      <c r="L44" s="2"/>
      <c r="M44" s="2"/>
      <c r="N44" s="2"/>
      <c r="O44" s="2"/>
      <c r="P44" s="2"/>
      <c r="Q44" s="9"/>
    </row>
    <row r="45" spans="1:17" ht="13.2">
      <c r="A45" s="2" t="s">
        <v>538</v>
      </c>
      <c r="B45" s="142">
        <v>1206</v>
      </c>
      <c r="C45" s="142">
        <v>1164</v>
      </c>
      <c r="D45" s="142">
        <v>1122</v>
      </c>
      <c r="E45" s="142">
        <v>1080</v>
      </c>
      <c r="F45" s="142">
        <v>1038</v>
      </c>
      <c r="G45" s="142">
        <v>632</v>
      </c>
      <c r="H45" s="2"/>
      <c r="I45" s="2"/>
      <c r="J45" s="2"/>
      <c r="K45" s="2"/>
      <c r="L45" s="2"/>
      <c r="M45" s="2"/>
      <c r="N45" s="2"/>
      <c r="O45" s="2"/>
      <c r="P45" s="2"/>
      <c r="Q45" s="9"/>
    </row>
    <row r="46" spans="1:17" ht="13.2">
      <c r="A46" s="2" t="s">
        <v>539</v>
      </c>
      <c r="B46" s="142">
        <v>20</v>
      </c>
      <c r="C46" s="142">
        <v>19</v>
      </c>
      <c r="D46" s="142">
        <v>19</v>
      </c>
      <c r="E46" s="142">
        <v>18</v>
      </c>
      <c r="F46" s="142">
        <v>18</v>
      </c>
      <c r="G46" s="142">
        <v>13</v>
      </c>
      <c r="H46" s="2"/>
      <c r="I46" s="2"/>
      <c r="J46" s="2"/>
      <c r="K46" s="2"/>
      <c r="L46" s="2"/>
      <c r="M46" s="2"/>
      <c r="N46" s="2"/>
      <c r="O46" s="2"/>
      <c r="P46" s="2"/>
      <c r="Q46" s="9"/>
    </row>
    <row r="47" spans="1:17" ht="13.2">
      <c r="A47" s="2"/>
      <c r="B47" s="9"/>
      <c r="C47" s="2"/>
      <c r="D47" s="9"/>
      <c r="E47" s="9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9"/>
    </row>
    <row r="48" spans="1:17" ht="13.2">
      <c r="A48" s="2" t="s">
        <v>540</v>
      </c>
      <c r="B48" s="9"/>
      <c r="C48" s="2"/>
      <c r="D48" s="9"/>
      <c r="E48" s="9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9"/>
    </row>
    <row r="49" spans="1:17" ht="13.2">
      <c r="A49" s="2"/>
      <c r="B49" s="139">
        <v>2026</v>
      </c>
      <c r="C49" s="139">
        <v>2027</v>
      </c>
      <c r="D49" s="139">
        <v>2028</v>
      </c>
      <c r="E49" s="140">
        <v>2029</v>
      </c>
      <c r="F49" s="139">
        <v>2030</v>
      </c>
      <c r="G49" s="139">
        <v>2050</v>
      </c>
      <c r="H49" s="2"/>
      <c r="I49" s="2"/>
      <c r="J49" s="2"/>
      <c r="K49" s="2"/>
      <c r="L49" s="2"/>
      <c r="M49" s="2"/>
      <c r="N49" s="2"/>
      <c r="O49" s="2"/>
      <c r="P49" s="2"/>
      <c r="Q49" s="9"/>
    </row>
    <row r="50" spans="1:17" ht="13.2">
      <c r="A50" s="2" t="s">
        <v>538</v>
      </c>
      <c r="B50" s="142">
        <v>1673</v>
      </c>
      <c r="C50" s="142">
        <v>1615</v>
      </c>
      <c r="D50" s="142">
        <v>1556</v>
      </c>
      <c r="E50" s="142">
        <v>1498</v>
      </c>
      <c r="F50" s="142">
        <v>1440</v>
      </c>
      <c r="G50" s="142">
        <v>861</v>
      </c>
      <c r="H50" s="2"/>
      <c r="I50" s="2"/>
      <c r="J50" s="2"/>
      <c r="K50" s="2"/>
      <c r="L50" s="2"/>
      <c r="M50" s="2"/>
      <c r="N50" s="2"/>
      <c r="O50" s="2"/>
      <c r="P50" s="2"/>
      <c r="Q50" s="9"/>
    </row>
    <row r="51" spans="1:17" ht="13.2">
      <c r="A51" s="2" t="s">
        <v>539</v>
      </c>
      <c r="B51" s="142">
        <v>17</v>
      </c>
      <c r="C51" s="142">
        <v>17</v>
      </c>
      <c r="D51" s="142">
        <v>16</v>
      </c>
      <c r="E51" s="142">
        <v>16</v>
      </c>
      <c r="F51" s="142">
        <v>15</v>
      </c>
      <c r="G51" s="142">
        <v>10</v>
      </c>
      <c r="H51" s="2"/>
      <c r="I51" s="2"/>
      <c r="J51" s="2"/>
      <c r="K51" s="2"/>
      <c r="L51" s="2"/>
      <c r="M51" s="2"/>
      <c r="N51" s="2"/>
      <c r="O51" s="2"/>
      <c r="P51" s="2"/>
      <c r="Q51" s="9"/>
    </row>
    <row r="52" spans="1:17" ht="13.2">
      <c r="A52" s="2"/>
      <c r="B52" s="9"/>
      <c r="C52" s="2"/>
      <c r="D52" s="9"/>
      <c r="E52" s="9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9"/>
    </row>
    <row r="53" spans="1:17" ht="13.2">
      <c r="A53" s="143" t="s">
        <v>541</v>
      </c>
      <c r="B53" s="9"/>
      <c r="C53" s="2"/>
      <c r="D53" s="9"/>
      <c r="E53" s="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9"/>
    </row>
    <row r="54" spans="1:17" ht="13.2">
      <c r="A54" s="2"/>
      <c r="B54" s="9"/>
      <c r="C54" s="2"/>
      <c r="D54" s="9"/>
      <c r="E54" s="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9"/>
    </row>
    <row r="55" spans="1:17" ht="13.2">
      <c r="A55" s="9" t="s">
        <v>542</v>
      </c>
      <c r="B55" s="2" t="s">
        <v>543</v>
      </c>
      <c r="C55" s="9" t="s">
        <v>544</v>
      </c>
      <c r="D55" s="9" t="s">
        <v>545</v>
      </c>
      <c r="E55" s="2" t="s">
        <v>546</v>
      </c>
      <c r="F55" s="2" t="s">
        <v>547</v>
      </c>
      <c r="G55" s="2" t="s">
        <v>548</v>
      </c>
      <c r="H55" s="2" t="s">
        <v>549</v>
      </c>
      <c r="I55" s="2" t="s">
        <v>550</v>
      </c>
      <c r="J55" s="2" t="s">
        <v>551</v>
      </c>
      <c r="K55" s="2" t="s">
        <v>552</v>
      </c>
      <c r="L55" s="2"/>
      <c r="M55" s="2"/>
      <c r="N55" s="2"/>
      <c r="O55" s="2"/>
      <c r="P55" s="2"/>
    </row>
    <row r="56" spans="1:17" ht="13.2">
      <c r="A56" s="9">
        <v>25252</v>
      </c>
      <c r="B56" s="2">
        <v>0.171101794</v>
      </c>
      <c r="C56" s="9">
        <v>4.1061782840000003</v>
      </c>
      <c r="D56" s="9">
        <v>4060.4224220000001</v>
      </c>
      <c r="E56" s="2">
        <v>126.8882007</v>
      </c>
      <c r="F56" s="2">
        <v>40.168999999999997</v>
      </c>
      <c r="G56" s="2">
        <v>-84.391999999999996</v>
      </c>
      <c r="H56" s="2">
        <v>33.92880692</v>
      </c>
      <c r="I56" s="2" t="s">
        <v>9</v>
      </c>
      <c r="J56" s="100">
        <f t="shared" ref="J56:J79" si="13">D56*1000/(E56*1000000)</f>
        <v>3.199999999684762E-2</v>
      </c>
      <c r="K56" s="2">
        <f t="shared" ref="K56:K79" si="14">B56*D56</f>
        <v>694.74556080202512</v>
      </c>
      <c r="L56" s="2"/>
      <c r="M56" s="2"/>
      <c r="N56" s="2"/>
      <c r="O56" s="2"/>
      <c r="P56" s="2"/>
    </row>
    <row r="57" spans="1:17" ht="13.2">
      <c r="A57" s="9">
        <v>25253</v>
      </c>
      <c r="B57" s="2">
        <v>0.17049175499999999</v>
      </c>
      <c r="C57" s="9">
        <v>4.0945658680000001</v>
      </c>
      <c r="D57" s="107">
        <v>3525.6849750000001</v>
      </c>
      <c r="E57" s="2">
        <v>110.1776555</v>
      </c>
      <c r="F57" s="2">
        <v>40.156999999999996</v>
      </c>
      <c r="G57" s="2">
        <v>-84.25</v>
      </c>
      <c r="H57" s="2">
        <v>29.98930957</v>
      </c>
      <c r="I57" s="2" t="s">
        <v>9</v>
      </c>
      <c r="J57" s="100">
        <f t="shared" si="13"/>
        <v>3.1999999990923747E-2</v>
      </c>
      <c r="K57" s="2">
        <f t="shared" si="14"/>
        <v>601.10021896488115</v>
      </c>
      <c r="L57" s="2"/>
      <c r="M57" s="2"/>
      <c r="N57" s="2"/>
      <c r="O57" s="2"/>
      <c r="P57" s="2"/>
    </row>
    <row r="58" spans="1:17" ht="13.2">
      <c r="A58" s="9">
        <v>25254</v>
      </c>
      <c r="B58" s="2">
        <v>0.170217335</v>
      </c>
      <c r="C58" s="9">
        <v>4.0847587589999996</v>
      </c>
      <c r="D58" s="107">
        <v>4159.7038689999999</v>
      </c>
      <c r="E58" s="2">
        <v>129.99074590000001</v>
      </c>
      <c r="F58" s="2">
        <v>40.145000000000003</v>
      </c>
      <c r="G58" s="2">
        <v>-84.106999999999999</v>
      </c>
      <c r="H58" s="2">
        <v>27.642910480000001</v>
      </c>
      <c r="I58" s="2" t="s">
        <v>9</v>
      </c>
      <c r="J58" s="100">
        <f t="shared" si="13"/>
        <v>3.2000000001538569E-2</v>
      </c>
      <c r="K58" s="2">
        <f t="shared" si="14"/>
        <v>708.05370697036915</v>
      </c>
      <c r="L58" s="2"/>
      <c r="M58" s="2"/>
      <c r="N58" s="2"/>
      <c r="O58" s="2"/>
      <c r="P58" s="2"/>
    </row>
    <row r="59" spans="1:17" ht="13.2">
      <c r="A59" s="9">
        <v>25579</v>
      </c>
      <c r="B59" s="2">
        <v>0.17186196100000001</v>
      </c>
      <c r="C59" s="9">
        <v>4.1248497960000003</v>
      </c>
      <c r="D59" s="107">
        <v>4064.592909</v>
      </c>
      <c r="E59" s="2">
        <v>127.01852839999999</v>
      </c>
      <c r="F59" s="2">
        <v>40.072000000000003</v>
      </c>
      <c r="G59" s="2">
        <v>-84.41</v>
      </c>
      <c r="H59" s="2">
        <v>28.186745689999999</v>
      </c>
      <c r="I59" s="2" t="s">
        <v>9</v>
      </c>
      <c r="J59" s="100">
        <f t="shared" si="13"/>
        <v>3.2000000001574574E-2</v>
      </c>
      <c r="K59" s="2">
        <f t="shared" si="14"/>
        <v>698.54890800743453</v>
      </c>
      <c r="L59" s="2"/>
      <c r="M59" s="2"/>
      <c r="N59" s="2"/>
      <c r="O59" s="2"/>
      <c r="P59" s="2"/>
    </row>
    <row r="60" spans="1:17" ht="13.2">
      <c r="A60" s="9">
        <v>25580</v>
      </c>
      <c r="B60" s="2">
        <v>0.17127278400000001</v>
      </c>
      <c r="C60" s="9">
        <v>4.1120367050000004</v>
      </c>
      <c r="D60" s="107">
        <v>3508.9354410000001</v>
      </c>
      <c r="E60" s="2">
        <v>109.65423250000001</v>
      </c>
      <c r="F60" s="2">
        <v>40.06</v>
      </c>
      <c r="G60" s="2">
        <v>-84.266999999999996</v>
      </c>
      <c r="H60" s="2">
        <v>23.259202470000002</v>
      </c>
      <c r="I60" s="2" t="s">
        <v>9</v>
      </c>
      <c r="J60" s="100">
        <f t="shared" si="13"/>
        <v>3.2000000009119574E-2</v>
      </c>
      <c r="K60" s="2">
        <f t="shared" si="14"/>
        <v>600.9851418563378</v>
      </c>
      <c r="L60" s="2"/>
      <c r="M60" s="2"/>
      <c r="N60" s="2"/>
      <c r="O60" s="2"/>
      <c r="P60" s="2"/>
    </row>
    <row r="61" spans="1:17" ht="13.2">
      <c r="A61" s="2">
        <v>25581</v>
      </c>
      <c r="B61" s="2">
        <v>0.17009674</v>
      </c>
      <c r="C61" s="9">
        <v>4.0890798569999998</v>
      </c>
      <c r="D61" s="107">
        <v>3883.2022689999999</v>
      </c>
      <c r="E61" s="2">
        <v>121.35007090000001</v>
      </c>
      <c r="F61" s="2">
        <v>40.048000000000002</v>
      </c>
      <c r="G61" s="2">
        <v>-84.125</v>
      </c>
      <c r="H61" s="2">
        <v>20.157357040000001</v>
      </c>
      <c r="I61" s="2" t="s">
        <v>9</v>
      </c>
      <c r="J61" s="100">
        <f t="shared" si="13"/>
        <v>3.200000000164812E-2</v>
      </c>
      <c r="K61" s="2">
        <f t="shared" si="14"/>
        <v>660.52004671750308</v>
      </c>
      <c r="L61" s="2"/>
      <c r="M61" s="2"/>
      <c r="N61" s="2"/>
      <c r="O61" s="2"/>
      <c r="P61" s="2"/>
    </row>
    <row r="62" spans="1:17" ht="13.2">
      <c r="A62" s="2">
        <v>25904</v>
      </c>
      <c r="B62" s="2">
        <v>0.171230838</v>
      </c>
      <c r="C62" s="9">
        <v>4.1151480669999998</v>
      </c>
      <c r="D62" s="107">
        <v>3909.3166689999998</v>
      </c>
      <c r="E62" s="2">
        <v>122.1661459</v>
      </c>
      <c r="F62" s="2">
        <v>39.963000000000001</v>
      </c>
      <c r="G62" s="2">
        <v>-84.284999999999997</v>
      </c>
      <c r="H62" s="2">
        <v>6.3653686269999996</v>
      </c>
      <c r="I62" s="2" t="s">
        <v>9</v>
      </c>
      <c r="J62" s="100">
        <f t="shared" si="13"/>
        <v>3.2000000001637108E-2</v>
      </c>
      <c r="K62" s="2">
        <f t="shared" si="14"/>
        <v>669.39556924023861</v>
      </c>
      <c r="L62" s="2"/>
      <c r="M62" s="2"/>
      <c r="N62" s="2"/>
      <c r="O62" s="2"/>
      <c r="P62" s="2"/>
    </row>
    <row r="63" spans="1:17" ht="13.2">
      <c r="A63" s="2">
        <v>25905</v>
      </c>
      <c r="B63" s="2">
        <v>0.17070217400000001</v>
      </c>
      <c r="C63" s="9">
        <v>4.1044769289999996</v>
      </c>
      <c r="D63" s="2">
        <v>3399.4596379999998</v>
      </c>
      <c r="E63" s="2">
        <v>106.2331137</v>
      </c>
      <c r="F63" s="2">
        <v>39.951000000000001</v>
      </c>
      <c r="G63" s="2">
        <v>-84.143000000000001</v>
      </c>
      <c r="H63" s="2">
        <v>1.5644597140000001</v>
      </c>
      <c r="I63" s="2" t="s">
        <v>9</v>
      </c>
      <c r="J63" s="100">
        <f t="shared" si="13"/>
        <v>3.1999999996234693E-2</v>
      </c>
      <c r="K63" s="2">
        <f t="shared" si="14"/>
        <v>580.29515063185306</v>
      </c>
      <c r="L63" s="2"/>
      <c r="M63" s="2"/>
      <c r="N63" s="2"/>
      <c r="O63" s="2"/>
      <c r="P63" s="2"/>
    </row>
    <row r="64" spans="1:17" ht="13.2">
      <c r="A64" s="2">
        <v>26224</v>
      </c>
      <c r="B64" s="2">
        <v>0.17272868799999999</v>
      </c>
      <c r="C64" s="9">
        <v>4.1389479639999998</v>
      </c>
      <c r="D64" s="2">
        <v>4005.9800439999999</v>
      </c>
      <c r="E64" s="2">
        <v>125.1868764</v>
      </c>
      <c r="F64" s="2">
        <v>39.878</v>
      </c>
      <c r="G64" s="2">
        <v>-84.444999999999993</v>
      </c>
      <c r="H64" s="2">
        <v>20.775099650000001</v>
      </c>
      <c r="I64" s="2" t="s">
        <v>10</v>
      </c>
      <c r="J64" s="100">
        <f t="shared" si="13"/>
        <v>3.199999999360955E-2</v>
      </c>
      <c r="K64" s="2">
        <f t="shared" si="14"/>
        <v>691.94767715430226</v>
      </c>
      <c r="L64" s="2"/>
      <c r="M64" s="2"/>
      <c r="N64" s="2"/>
      <c r="O64" s="2"/>
      <c r="P64" s="2"/>
    </row>
    <row r="65" spans="1:17" ht="13.2">
      <c r="A65" s="2">
        <v>26225</v>
      </c>
      <c r="B65" s="2">
        <v>0.171964169</v>
      </c>
      <c r="C65" s="107">
        <v>4.1235461239999998</v>
      </c>
      <c r="D65" s="2">
        <v>2311.0687130000001</v>
      </c>
      <c r="E65" s="2">
        <v>72.220897269999995</v>
      </c>
      <c r="F65" s="2">
        <v>39.866</v>
      </c>
      <c r="G65" s="2">
        <v>-84.302999999999997</v>
      </c>
      <c r="H65" s="2">
        <v>9.268234412</v>
      </c>
      <c r="I65" s="2" t="s">
        <v>10</v>
      </c>
      <c r="J65" s="100">
        <f t="shared" si="13"/>
        <v>3.2000000004984708E-2</v>
      </c>
      <c r="K65" s="2">
        <f t="shared" si="14"/>
        <v>397.42101073294452</v>
      </c>
      <c r="L65" s="2"/>
      <c r="M65" s="2"/>
      <c r="N65" s="2"/>
      <c r="O65" s="2"/>
      <c r="P65" s="2"/>
    </row>
    <row r="66" spans="1:17" ht="13.2">
      <c r="A66" s="2">
        <v>26226</v>
      </c>
      <c r="B66" s="2">
        <v>0.17173555500000001</v>
      </c>
      <c r="C66" s="9">
        <v>4.1213612560000001</v>
      </c>
      <c r="D66" s="2">
        <v>1081.1205419999999</v>
      </c>
      <c r="E66" s="2">
        <v>33.785016939999998</v>
      </c>
      <c r="F66" s="2">
        <v>39.853999999999999</v>
      </c>
      <c r="G66" s="2">
        <v>-84.161000000000001</v>
      </c>
      <c r="H66" s="2">
        <v>6.7798640690000003</v>
      </c>
      <c r="I66" s="2" t="s">
        <v>10</v>
      </c>
      <c r="J66" s="100">
        <f t="shared" si="13"/>
        <v>3.1999999997632082E-2</v>
      </c>
      <c r="K66" s="2">
        <f t="shared" si="14"/>
        <v>185.66683630227081</v>
      </c>
      <c r="L66" s="2"/>
      <c r="M66" s="2"/>
      <c r="N66" s="2"/>
      <c r="O66" s="2"/>
      <c r="P66" s="2"/>
    </row>
    <row r="67" spans="1:17" ht="13.2">
      <c r="A67" s="2">
        <v>26227</v>
      </c>
      <c r="B67" s="2">
        <v>0.17064063300000001</v>
      </c>
      <c r="C67" s="107">
        <v>4.1008076669999998</v>
      </c>
      <c r="D67" s="2">
        <v>2312.0847560000002</v>
      </c>
      <c r="E67" s="2">
        <v>72.252648629999996</v>
      </c>
      <c r="F67" s="2">
        <v>39.841999999999999</v>
      </c>
      <c r="G67" s="2">
        <v>-84.019000000000005</v>
      </c>
      <c r="H67" s="2">
        <v>4.9671473840000004</v>
      </c>
      <c r="I67" s="2" t="s">
        <v>5</v>
      </c>
      <c r="J67" s="100">
        <f t="shared" si="13"/>
        <v>3.199999999778555E-2</v>
      </c>
      <c r="K67" s="2">
        <f t="shared" si="14"/>
        <v>394.53560631349063</v>
      </c>
      <c r="L67" s="2"/>
      <c r="M67" s="2"/>
      <c r="N67" s="2"/>
      <c r="O67" s="2"/>
      <c r="P67" s="2"/>
    </row>
    <row r="68" spans="1:17" ht="13.2">
      <c r="A68" s="2">
        <v>26546</v>
      </c>
      <c r="B68" s="2">
        <v>0.17268460999999999</v>
      </c>
      <c r="C68" s="107">
        <v>4.1421904559999998</v>
      </c>
      <c r="D68" s="2">
        <v>4011.4050189999998</v>
      </c>
      <c r="E68" s="2">
        <v>125.3564068</v>
      </c>
      <c r="F68" s="2">
        <v>39.780999999999999</v>
      </c>
      <c r="G68" s="2">
        <v>-84.462000000000003</v>
      </c>
      <c r="H68" s="2">
        <v>20.53912983</v>
      </c>
      <c r="I68" s="2" t="s">
        <v>10</v>
      </c>
      <c r="J68" s="100">
        <f t="shared" si="13"/>
        <v>3.2000000011168157E-2</v>
      </c>
      <c r="K68" s="2">
        <f t="shared" si="14"/>
        <v>692.70791125805749</v>
      </c>
      <c r="L68" s="2"/>
      <c r="M68" s="2"/>
      <c r="N68" s="2"/>
      <c r="O68" s="2"/>
      <c r="P68" s="2"/>
    </row>
    <row r="69" spans="1:17" ht="13.2">
      <c r="A69" s="2">
        <v>26547</v>
      </c>
      <c r="B69" s="2">
        <v>0.171739057</v>
      </c>
      <c r="C69" s="107">
        <v>4.1278882030000004</v>
      </c>
      <c r="D69" s="2">
        <v>2629.6123499999999</v>
      </c>
      <c r="E69" s="2">
        <v>82.175385939999998</v>
      </c>
      <c r="F69" s="2">
        <v>39.768999999999998</v>
      </c>
      <c r="G69" s="2">
        <v>-84.32</v>
      </c>
      <c r="H69" s="2">
        <v>12.99568485</v>
      </c>
      <c r="I69" s="2" t="s">
        <v>10</v>
      </c>
      <c r="J69" s="100">
        <f t="shared" si="13"/>
        <v>3.1999999999026474E-2</v>
      </c>
      <c r="K69" s="2">
        <f t="shared" si="14"/>
        <v>451.60714526455394</v>
      </c>
      <c r="L69" s="2"/>
      <c r="M69" s="2"/>
      <c r="N69" s="2"/>
      <c r="O69" s="2"/>
      <c r="P69" s="2"/>
    </row>
    <row r="70" spans="1:17" ht="13.2">
      <c r="A70" s="2">
        <v>26548</v>
      </c>
      <c r="B70" s="2">
        <v>0.17063687699999999</v>
      </c>
      <c r="C70" s="107">
        <v>4.1040821080000001</v>
      </c>
      <c r="D70" s="2">
        <v>228.02601089999999</v>
      </c>
      <c r="E70" s="2">
        <v>7.1258128420000002</v>
      </c>
      <c r="F70" s="2">
        <v>39.756999999999998</v>
      </c>
      <c r="G70" s="2">
        <v>-84.179000000000002</v>
      </c>
      <c r="H70" s="2">
        <v>0.353810758</v>
      </c>
      <c r="I70" s="2" t="s">
        <v>10</v>
      </c>
      <c r="J70" s="100">
        <f t="shared" si="13"/>
        <v>3.1999999993825266E-2</v>
      </c>
      <c r="K70" s="2">
        <f t="shared" si="14"/>
        <v>38.909646374743957</v>
      </c>
      <c r="L70" s="2"/>
      <c r="M70" s="2"/>
      <c r="N70" s="2"/>
      <c r="O70" s="2"/>
      <c r="P70" s="2"/>
    </row>
    <row r="71" spans="1:17" ht="13.2">
      <c r="A71" s="2">
        <v>26549</v>
      </c>
      <c r="B71" s="2">
        <v>0.170803651</v>
      </c>
      <c r="C71" s="2">
        <v>4.1098184590000004</v>
      </c>
      <c r="D71" s="2">
        <v>1431.9814080000001</v>
      </c>
      <c r="E71" s="2">
        <v>44.749418990000002</v>
      </c>
      <c r="F71" s="2">
        <v>39.744999999999997</v>
      </c>
      <c r="G71" s="2">
        <v>-84.037000000000006</v>
      </c>
      <c r="H71" s="2">
        <v>3.4209478870000001</v>
      </c>
      <c r="I71" s="2" t="s">
        <v>5</v>
      </c>
      <c r="J71" s="100">
        <f t="shared" si="13"/>
        <v>3.2000000007150933E-2</v>
      </c>
      <c r="K71" s="2">
        <f t="shared" si="14"/>
        <v>244.58765265052062</v>
      </c>
      <c r="L71" s="2"/>
      <c r="M71" s="2"/>
      <c r="N71" s="2"/>
      <c r="O71" s="2"/>
      <c r="P71" s="2"/>
    </row>
    <row r="72" spans="1:17" ht="13.2">
      <c r="A72" s="2">
        <v>26550</v>
      </c>
      <c r="B72" s="2">
        <v>0.171545327</v>
      </c>
      <c r="C72" s="2">
        <v>4.1258502010000004</v>
      </c>
      <c r="D72" s="2">
        <v>3726.0078469999999</v>
      </c>
      <c r="E72" s="2">
        <v>116.43774519999999</v>
      </c>
      <c r="F72" s="2">
        <v>39.731999999999999</v>
      </c>
      <c r="G72" s="2">
        <v>-83.894999999999996</v>
      </c>
      <c r="H72" s="2">
        <v>10.702265730000001</v>
      </c>
      <c r="I72" s="2" t="s">
        <v>5</v>
      </c>
      <c r="J72" s="100">
        <f t="shared" si="13"/>
        <v>3.2000000005152969E-2</v>
      </c>
      <c r="K72" s="2">
        <f t="shared" si="14"/>
        <v>639.17923451818092</v>
      </c>
      <c r="L72" s="2"/>
      <c r="M72" s="2"/>
      <c r="N72" s="2"/>
      <c r="O72" s="2"/>
      <c r="P72" s="2"/>
    </row>
    <row r="73" spans="1:17" ht="13.2">
      <c r="A73" s="2">
        <v>26551</v>
      </c>
      <c r="B73" s="2">
        <v>0.17233781500000001</v>
      </c>
      <c r="C73" s="2">
        <v>4.1455321310000004</v>
      </c>
      <c r="D73" s="2">
        <v>3972.7584000000002</v>
      </c>
      <c r="E73" s="2">
        <v>124.14870000000001</v>
      </c>
      <c r="F73" s="2">
        <v>39.72</v>
      </c>
      <c r="G73" s="2">
        <v>-83.754000000000005</v>
      </c>
      <c r="H73" s="2">
        <v>18.14444421</v>
      </c>
      <c r="I73" s="2" t="s">
        <v>5</v>
      </c>
      <c r="J73" s="100">
        <f t="shared" si="13"/>
        <v>3.2000000000000001E-2</v>
      </c>
      <c r="K73" s="2">
        <f t="shared" si="14"/>
        <v>684.65650217889606</v>
      </c>
      <c r="L73" s="2"/>
      <c r="M73" s="2"/>
      <c r="N73" s="2"/>
      <c r="O73" s="2"/>
      <c r="P73" s="2"/>
    </row>
    <row r="74" spans="1:17" ht="13.2">
      <c r="A74" s="2">
        <v>26864</v>
      </c>
      <c r="B74" s="2">
        <v>0.17161113</v>
      </c>
      <c r="C74" s="2">
        <v>4.1372518539999996</v>
      </c>
      <c r="D74" s="2">
        <v>4025.2413379999998</v>
      </c>
      <c r="E74" s="2">
        <v>125.7887918</v>
      </c>
      <c r="F74" s="2">
        <v>39.683999999999997</v>
      </c>
      <c r="G74" s="2">
        <v>-84.478999999999999</v>
      </c>
      <c r="H74" s="2">
        <v>22.891974050000002</v>
      </c>
      <c r="I74" s="2" t="s">
        <v>10</v>
      </c>
      <c r="J74" s="100">
        <f t="shared" si="13"/>
        <v>3.2000000003179936E-2</v>
      </c>
      <c r="K74" s="2">
        <f t="shared" si="14"/>
        <v>690.77621453689187</v>
      </c>
      <c r="L74" s="2"/>
      <c r="M74" s="2"/>
      <c r="N74" s="2"/>
      <c r="O74" s="2"/>
      <c r="P74" s="2"/>
    </row>
    <row r="75" spans="1:17" ht="13.2">
      <c r="A75" s="2">
        <v>26865</v>
      </c>
      <c r="B75" s="2">
        <v>0.171288148</v>
      </c>
      <c r="C75" s="2">
        <v>4.1295151710000004</v>
      </c>
      <c r="D75" s="2">
        <v>3462.5801529999999</v>
      </c>
      <c r="E75" s="2">
        <v>108.2056298</v>
      </c>
      <c r="F75" s="2">
        <v>39.671999999999997</v>
      </c>
      <c r="G75" s="2">
        <v>-84.337999999999994</v>
      </c>
      <c r="H75" s="2">
        <v>16.510299490000001</v>
      </c>
      <c r="I75" s="2" t="s">
        <v>10</v>
      </c>
      <c r="J75" s="100">
        <f t="shared" si="13"/>
        <v>3.1999999994455006E-2</v>
      </c>
      <c r="K75" s="2">
        <f t="shared" si="14"/>
        <v>593.09894170892665</v>
      </c>
      <c r="L75" s="2"/>
      <c r="M75" s="2"/>
      <c r="N75" s="2"/>
      <c r="O75" s="2"/>
      <c r="P75" s="2"/>
    </row>
    <row r="76" spans="1:17" ht="13.2">
      <c r="A76" s="2">
        <v>26866</v>
      </c>
      <c r="B76" s="2">
        <v>0.17041672799999999</v>
      </c>
      <c r="C76" s="2">
        <v>4.1138358119999996</v>
      </c>
      <c r="D76" s="2">
        <v>156.6267891</v>
      </c>
      <c r="E76" s="2">
        <v>4.8945871580000002</v>
      </c>
      <c r="F76" s="2">
        <v>39.659999999999997</v>
      </c>
      <c r="G76" s="2">
        <v>-84.195999999999998</v>
      </c>
      <c r="H76" s="2">
        <v>2.5254353040000002</v>
      </c>
      <c r="I76" s="2" t="s">
        <v>10</v>
      </c>
      <c r="J76" s="100">
        <f t="shared" si="13"/>
        <v>3.2000000008989525E-2</v>
      </c>
      <c r="K76" s="2">
        <f t="shared" si="14"/>
        <v>26.691824915568063</v>
      </c>
      <c r="L76" s="2"/>
      <c r="M76" s="2"/>
      <c r="N76" s="2"/>
      <c r="O76" s="2"/>
      <c r="P76" s="2"/>
    </row>
    <row r="77" spans="1:17" ht="13.2">
      <c r="A77" s="2">
        <v>26867</v>
      </c>
      <c r="B77" s="2">
        <v>0.17139227700000001</v>
      </c>
      <c r="C77" s="2">
        <v>4.1325211519999998</v>
      </c>
      <c r="D77" s="2">
        <v>2445.7048880000002</v>
      </c>
      <c r="E77" s="2">
        <v>76.428277730000005</v>
      </c>
      <c r="F77" s="2">
        <v>39.648000000000003</v>
      </c>
      <c r="G77" s="2">
        <v>-84.055000000000007</v>
      </c>
      <c r="H77" s="2">
        <v>5.551151054</v>
      </c>
      <c r="I77" s="2" t="s">
        <v>5</v>
      </c>
      <c r="J77" s="100">
        <f t="shared" si="13"/>
        <v>3.2000000008373865E-2</v>
      </c>
      <c r="K77" s="2">
        <f t="shared" si="14"/>
        <v>419.17492962435006</v>
      </c>
      <c r="L77" s="2"/>
      <c r="M77" s="2"/>
      <c r="N77" s="2"/>
      <c r="O77" s="2"/>
      <c r="P77" s="2"/>
    </row>
    <row r="78" spans="1:17" ht="13.2">
      <c r="A78" s="2">
        <v>26868</v>
      </c>
      <c r="B78" s="2">
        <v>0.17147168500000001</v>
      </c>
      <c r="C78" s="2">
        <v>4.1330552100000002</v>
      </c>
      <c r="D78" s="2">
        <v>3575.347847</v>
      </c>
      <c r="E78" s="2">
        <v>111.7296202</v>
      </c>
      <c r="F78" s="2">
        <v>39.636000000000003</v>
      </c>
      <c r="G78" s="2">
        <v>-83.912999999999997</v>
      </c>
      <c r="H78" s="2">
        <v>14.70820543</v>
      </c>
      <c r="I78" s="2" t="s">
        <v>5</v>
      </c>
      <c r="J78" s="100">
        <f t="shared" si="13"/>
        <v>3.2000000005370108E-2</v>
      </c>
      <c r="K78" s="2">
        <f t="shared" si="14"/>
        <v>613.07091978621224</v>
      </c>
      <c r="L78" s="2"/>
      <c r="M78" s="2"/>
      <c r="N78" s="2"/>
      <c r="O78" s="2"/>
      <c r="P78" s="2"/>
    </row>
    <row r="79" spans="1:17" ht="13.2">
      <c r="A79" s="2">
        <v>26869</v>
      </c>
      <c r="B79" s="2">
        <v>0.17203280300000001</v>
      </c>
      <c r="C79" s="2">
        <v>4.1489925379999999</v>
      </c>
      <c r="D79" s="2">
        <v>4041.687375</v>
      </c>
      <c r="E79" s="2">
        <v>126.3027305</v>
      </c>
      <c r="F79" s="2">
        <v>39.622999999999998</v>
      </c>
      <c r="G79" s="2">
        <v>-83.772000000000006</v>
      </c>
      <c r="H79" s="2">
        <v>20.804768859999999</v>
      </c>
      <c r="I79" s="2" t="s">
        <v>5</v>
      </c>
      <c r="J79" s="100">
        <f t="shared" si="13"/>
        <v>3.1999999992082515E-2</v>
      </c>
      <c r="K79" s="2">
        <f t="shared" si="14"/>
        <v>695.30280797096214</v>
      </c>
      <c r="L79" s="2"/>
      <c r="M79" s="2"/>
      <c r="N79" s="2"/>
      <c r="O79" s="2"/>
      <c r="P79" s="2"/>
    </row>
    <row r="80" spans="1:17" ht="13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spans="1:17" ht="13.2">
      <c r="B81" s="2" t="s">
        <v>553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spans="1:17" ht="13.2">
      <c r="A82" s="2" t="s">
        <v>5</v>
      </c>
      <c r="B82" s="144">
        <f t="shared" ref="B82:B84" si="15">SUMIFS($K$56:$K$79,$I$56:$I$79,A82)/SUMIFS($D$56:$D$79,$I$56:$I$79,A82)</f>
        <v>0.17160704042818967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spans="1:17" ht="13.2">
      <c r="A83" s="2" t="s">
        <v>9</v>
      </c>
      <c r="B83" s="144">
        <f t="shared" si="15"/>
        <v>0.17087574749745318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spans="1:17" ht="13.2">
      <c r="A84" s="2" t="s">
        <v>10</v>
      </c>
      <c r="B84" s="144">
        <f t="shared" si="15"/>
        <v>0.17200098227607216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spans="1:17" ht="13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spans="1:17" ht="13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spans="1:17" ht="13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spans="1:17" ht="13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spans="1:17" ht="13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spans="1:17" ht="13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spans="1:17" ht="13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spans="1:17" ht="13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spans="1:17" ht="13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spans="1:17" ht="13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spans="1:17" ht="13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spans="1:17" ht="13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spans="1:17" ht="13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spans="1:17" ht="13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spans="1:17" ht="13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7" ht="13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7" ht="13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7" ht="13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7" ht="13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7" ht="13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7" ht="13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7" ht="13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7" ht="13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7" ht="13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7" ht="13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spans="1:17" ht="13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spans="1:17" ht="13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spans="1:17" ht="13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spans="1:17" ht="13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spans="1:17" ht="13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spans="1:17" ht="13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spans="1:17" ht="13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spans="1:17" ht="13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spans="1:17" ht="13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spans="1:17" ht="13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spans="1:17" ht="13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spans="1:17" ht="13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spans="1:17" ht="13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spans="1:17" ht="13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spans="1:17" ht="13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spans="1:17" ht="13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spans="1:17" ht="13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spans="1:17" ht="13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spans="1:17" ht="13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spans="1:17" ht="13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spans="1:17" ht="13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spans="1:17" ht="13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spans="1:17" ht="13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spans="1:17" ht="13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spans="1:17" ht="13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spans="1:17" ht="13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spans="1:17" ht="13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spans="1:17" ht="13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spans="1:17" ht="13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spans="1:17" ht="13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spans="1:17" ht="13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spans="1:17" ht="13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spans="1:17" ht="13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spans="1:17" ht="13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spans="1:17" ht="13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spans="1:17" ht="13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spans="1:17" ht="13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spans="1:17" ht="13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spans="1:17" ht="13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spans="1:17" ht="13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spans="1:17" ht="13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spans="1:17" ht="13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spans="1:17" ht="13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spans="1:17" ht="13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spans="1:17" ht="13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spans="1:17" ht="13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spans="1:17" ht="13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spans="1:17" ht="13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spans="1:17" ht="13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spans="1:17" ht="13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spans="1:17" ht="13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spans="1:17" ht="13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spans="1:17" ht="13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spans="1:17" ht="13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spans="1:17" ht="13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spans="1:17" ht="13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spans="1:17" ht="13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spans="1:17" ht="13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spans="1:17" ht="13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spans="1:17" ht="13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spans="1:17" ht="13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spans="1:17" ht="13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spans="1:17" ht="13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spans="1:17" ht="13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spans="1:17" ht="13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spans="1:17" ht="13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spans="1:17" ht="13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spans="1:17" ht="13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spans="1:17" ht="13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spans="1:17" ht="13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spans="1:17" ht="13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spans="1:17" ht="13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spans="1:17" ht="13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spans="1:17" ht="13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spans="1:17" ht="13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spans="1:17" ht="13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spans="1:17" ht="13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spans="1:17" ht="13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spans="1:17" ht="13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spans="1:17" ht="13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spans="1:17" ht="13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spans="1:17" ht="13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spans="1:17" ht="13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17" ht="13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spans="1:17" ht="13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spans="1:17" ht="13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spans="1:17" ht="13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spans="1:17" ht="13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spans="1:17" ht="13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spans="1:17" ht="13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spans="1:17" ht="13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spans="1:17" ht="13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spans="1:17" ht="13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spans="1:17" ht="13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spans="1:17" ht="13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spans="1:17" ht="13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spans="1:17" ht="13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spans="1:17" ht="13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spans="1:17" ht="13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spans="1:17" ht="13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spans="1:17" ht="13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1:17" ht="13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spans="1:17" ht="13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spans="1:17" ht="13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spans="1:17" ht="13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spans="1:17" ht="13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spans="1:17" ht="13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spans="1:17" ht="13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spans="1:17" ht="13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spans="1:17" ht="13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spans="1:17" ht="13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spans="1:17" ht="13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spans="1:17" ht="13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spans="1:17" ht="13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spans="1:17" ht="13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spans="1:17" ht="13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spans="1:17" ht="13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spans="1:17" ht="13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spans="1:17" ht="13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spans="1:17" ht="13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spans="1:17" ht="13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spans="1:17" ht="13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spans="1:17" ht="13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spans="1:17" ht="13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spans="1:17" ht="13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spans="1:17" ht="13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spans="1:17" ht="13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spans="1:17" ht="13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spans="1:17" ht="13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spans="1:17" ht="13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spans="1:17" ht="13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spans="1:17" ht="13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spans="1:17" ht="13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spans="1:17" ht="13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spans="1:17" ht="13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spans="1:17" ht="13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spans="1:17" ht="13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spans="1:17" ht="13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spans="1:17" ht="13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spans="1:17" ht="13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spans="1:17" ht="13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spans="1:17" ht="13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spans="1:17" ht="13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spans="1:17" ht="13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spans="1:17" ht="13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spans="1:17" ht="13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spans="1:17" ht="13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spans="1:17" ht="13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spans="1:17" ht="13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spans="1:17" ht="13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spans="1:17" ht="13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spans="1:17" ht="13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spans="1:17" ht="13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spans="1:17" ht="13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spans="1:17" ht="13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spans="1:17" ht="13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spans="1:17" ht="13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spans="1:17" ht="13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spans="1:17" ht="13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spans="1:17" ht="13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spans="1:17" ht="13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spans="1:17" ht="13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spans="1:17" ht="13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spans="1:17" ht="13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spans="1:17" ht="13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spans="1:17" ht="13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spans="1:17" ht="13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spans="1:17" ht="13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spans="1:17" ht="13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spans="1:17" ht="13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spans="1:17" ht="13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spans="1:17" ht="13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spans="1:17" ht="13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spans="1:17" ht="13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spans="1:17" ht="13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spans="1:17" ht="13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spans="1:17" ht="13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spans="1:17" ht="13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spans="1:17" ht="13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spans="1:17" ht="13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spans="1:17" ht="13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spans="1:17" ht="13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spans="1:17" ht="13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spans="1:17" ht="13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spans="1:17" ht="13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spans="1:17" ht="13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spans="1:17" ht="13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spans="1:17" ht="13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spans="1:17" ht="13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spans="1:17" ht="13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spans="1:17" ht="13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spans="1:17" ht="13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spans="1:17" ht="13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spans="1:17" ht="13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spans="1:17" ht="13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spans="1:17" ht="13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spans="1:17" ht="13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spans="1:17" ht="13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spans="1:17" ht="13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spans="1:17" ht="13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spans="1:17" ht="13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spans="1:17" ht="13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spans="1:17" ht="13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spans="1:17" ht="13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spans="1:17" ht="13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spans="1:17" ht="13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spans="1:17" ht="13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spans="1:17" ht="13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spans="1:17" ht="13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spans="1:17" ht="13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spans="1:17" ht="13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spans="1:17" ht="13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spans="1:17" ht="13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spans="1:17" ht="13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spans="1:17" ht="13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spans="1:17" ht="13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spans="1:17" ht="13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spans="1:17" ht="13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spans="1:17" ht="13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spans="1:17" ht="13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spans="1:17" ht="13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spans="1:17" ht="13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spans="1:17" ht="13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spans="1:17" ht="13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spans="1:17" ht="13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spans="1:17" ht="13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spans="1:17" ht="13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spans="1:17" ht="13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spans="1:17" ht="13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spans="1:17" ht="13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spans="1:17" ht="13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spans="1:17" ht="13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spans="1:17" ht="13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spans="1:17" ht="13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spans="1:17" ht="13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spans="1:17" ht="13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spans="1:17" ht="13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spans="1:17" ht="13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spans="1:17" ht="13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spans="1:17" ht="13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spans="1:17" ht="13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spans="1:17" ht="13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spans="1:17" ht="13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spans="1:17" ht="13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spans="1:17" ht="13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spans="1:17" ht="13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spans="1:17" ht="13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spans="1:17" ht="13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spans="1:17" ht="13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spans="1:17" ht="13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spans="1:17" ht="13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spans="1:17" ht="13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spans="1:17" ht="13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spans="1:17" ht="13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spans="1:17" ht="13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spans="1:17" ht="13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spans="1:17" ht="13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spans="1:17" ht="13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spans="1:17" ht="13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spans="1:17" ht="13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spans="1:17" ht="13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spans="1:17" ht="13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spans="1:17" ht="13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spans="1:17" ht="13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spans="1:17" ht="13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spans="1:17" ht="13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spans="1:17" ht="13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spans="1:17" ht="13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spans="1:17" ht="13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spans="1:17" ht="13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spans="1:17" ht="13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spans="1:17" ht="13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spans="1:17" ht="13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spans="1:17" ht="13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spans="1:17" ht="13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spans="1:17" ht="13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spans="1:17" ht="13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spans="1:17" ht="13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spans="1:17" ht="13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spans="1:17" ht="13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spans="1:17" ht="13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spans="1:17" ht="13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spans="1:17" ht="13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spans="1:17" ht="13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spans="1:17" ht="13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spans="1:17" ht="13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spans="1:17" ht="13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spans="1:17" ht="13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spans="1:17" ht="13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spans="1:17" ht="13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spans="1:17" ht="13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spans="1:17" ht="13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spans="1:17" ht="13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spans="1:17" ht="13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spans="1:17" ht="13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spans="1:17" ht="13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spans="1:17" ht="13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spans="1:17" ht="13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spans="1:17" ht="13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spans="1:17" ht="13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spans="1:17" ht="13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spans="1:17" ht="13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spans="1:17" ht="13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spans="1:17" ht="13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spans="1:17" ht="13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spans="1:17" ht="13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spans="1:17" ht="13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spans="1:17" ht="13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spans="1:17" ht="13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spans="1:17" ht="13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spans="1:17" ht="13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spans="1:17" ht="13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spans="1:17" ht="13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spans="1:17" ht="13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spans="1:17" ht="13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spans="1:17" ht="13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spans="1:17" ht="13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spans="1:17" ht="13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spans="1:17" ht="13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spans="1:17" ht="13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spans="1:17" ht="13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spans="1:17" ht="13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spans="1:17" ht="13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spans="1:17" ht="13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spans="1:17" ht="13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spans="1:17" ht="13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spans="1:17" ht="13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spans="1:17" ht="13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spans="1:17" ht="13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spans="1:17" ht="13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spans="1:17" ht="13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spans="1:17" ht="13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spans="1:17" ht="13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spans="1:17" ht="13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spans="1:17" ht="13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spans="1:17" ht="13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spans="1:17" ht="13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spans="1:17" ht="13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spans="1:17" ht="13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spans="1:17" ht="13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spans="1:17" ht="13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spans="1:17" ht="13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spans="1:17" ht="13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spans="1:17" ht="13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spans="1:17" ht="13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spans="1:17" ht="13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spans="1:17" ht="13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spans="1:17" ht="13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spans="1:17" ht="13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spans="1:17" ht="13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spans="1:17" ht="13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spans="1:17" ht="13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spans="1:17" ht="13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spans="1:17" ht="13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spans="1:17" ht="13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spans="1:17" ht="13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spans="1:17" ht="13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spans="1:17" ht="13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spans="1:17" ht="13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spans="1:17" ht="13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spans="1:17" ht="13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spans="1:17" ht="13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spans="1:17" ht="13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spans="1:17" ht="13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spans="1:17" ht="13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spans="1:17" ht="13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spans="1:17" ht="13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spans="1:17" ht="13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spans="1:17" ht="13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spans="1:17" ht="13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spans="1:17" ht="13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spans="1:17" ht="13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spans="1:17" ht="13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spans="1:17" ht="13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spans="1:17" ht="13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spans="1:17" ht="13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spans="1:17" ht="13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spans="1:17" ht="13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spans="1:17" ht="13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spans="1:17" ht="13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spans="1:17" ht="13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spans="1:17" ht="13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spans="1:17" ht="13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spans="1:17" ht="13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spans="1:17" ht="13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spans="1:17" ht="13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spans="1:17" ht="13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spans="1:17" ht="13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spans="1:17" ht="13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spans="1:17" ht="13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spans="1:17" ht="13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spans="1:17" ht="13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spans="1:17" ht="13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spans="1:17" ht="13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spans="1:17" ht="13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spans="1:17" ht="13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spans="1:17" ht="13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spans="1:17" ht="13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spans="1:17" ht="13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spans="1:17" ht="13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spans="1:17" ht="13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spans="1:17" ht="13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spans="1:17" ht="13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spans="1:17" ht="13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spans="1:17" ht="13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spans="1:17" ht="13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spans="1:17" ht="13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spans="1:17" ht="13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spans="1:17" ht="13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spans="1:17" ht="13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spans="1:17" ht="13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spans="1:17" ht="13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spans="1:17" ht="13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spans="1:17" ht="13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spans="1:17" ht="13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spans="1:17" ht="13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spans="1:17" ht="13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spans="1:17" ht="13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spans="1:17" ht="13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spans="1:17" ht="13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spans="1:17" ht="13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spans="1:17" ht="13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spans="1:17" ht="13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spans="1:17" ht="13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spans="1:17" ht="13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spans="1:17" ht="13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spans="1:17" ht="13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spans="1:17" ht="13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spans="1:17" ht="13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spans="1:17" ht="13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spans="1:17" ht="13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spans="1:17" ht="13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spans="1:17" ht="13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spans="1:17" ht="13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spans="1:17" ht="13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spans="1:17" ht="13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spans="1:17" ht="13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spans="1:17" ht="13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spans="1:17" ht="13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spans="1:17" ht="13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spans="1:17" ht="13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spans="1:17" ht="13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spans="1:17" ht="13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spans="1:17" ht="13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spans="1:17" ht="13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spans="1:17" ht="13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spans="1:17" ht="13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spans="1:17" ht="13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spans="1:17" ht="13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spans="1:17" ht="13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spans="1:17" ht="13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spans="1:17" ht="13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spans="1:17" ht="13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spans="1:17" ht="13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spans="1:17" ht="13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spans="1:17" ht="13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spans="1:17" ht="13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spans="1:17" ht="13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spans="1:17" ht="13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spans="1:17" ht="13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spans="1:17" ht="13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spans="1:17" ht="13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spans="1:17" ht="13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spans="1:17" ht="13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spans="1:17" ht="13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spans="1:17" ht="13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spans="1:17" ht="13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spans="1:17" ht="13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spans="1:17" ht="13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spans="1:17" ht="13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spans="1:17" ht="13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spans="1:17" ht="13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spans="1:17" ht="13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spans="1:17" ht="13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spans="1:17" ht="13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spans="1:17" ht="13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spans="1:17" ht="13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spans="1:17" ht="13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spans="1:17" ht="13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spans="1:17" ht="13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spans="1:17" ht="13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spans="1:17" ht="13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spans="1:17" ht="13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spans="1:17" ht="13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spans="1:17" ht="13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spans="1:17" ht="13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spans="1:17" ht="13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spans="1:17" ht="13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spans="1:17" ht="13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spans="1:17" ht="13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spans="1:17" ht="13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spans="1:17" ht="13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spans="1:17" ht="13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spans="1:17" ht="13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spans="1:17" ht="13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spans="1:17" ht="13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spans="1:17" ht="13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spans="1:17" ht="13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spans="1:17" ht="13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spans="1:17" ht="13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spans="1:17" ht="13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spans="1:17" ht="13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spans="1:17" ht="13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spans="1:17" ht="13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spans="1:17" ht="13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spans="1:17" ht="13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spans="1:17" ht="13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spans="1:17" ht="13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spans="1:17" ht="13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spans="1:17" ht="13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spans="1:17" ht="13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spans="1:17" ht="13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spans="1:17" ht="13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spans="1:17" ht="13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spans="1:17" ht="13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spans="1:17" ht="13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spans="1:17" ht="13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spans="1:17" ht="13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spans="1:17" ht="13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spans="1:17" ht="13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spans="1:17" ht="13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spans="1:17" ht="13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spans="1:17" ht="13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spans="1:17" ht="13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spans="1:17" ht="13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spans="1:17" ht="13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spans="1:17" ht="13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spans="1:17" ht="13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spans="1:17" ht="13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spans="1:17" ht="13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spans="1:17" ht="13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spans="1:17" ht="13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spans="1:17" ht="13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spans="1:17" ht="13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spans="1:17" ht="13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spans="1:17" ht="13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spans="1:17" ht="13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spans="1:17" ht="13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spans="1:17" ht="13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spans="1:17" ht="13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spans="1:17" ht="13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spans="1:17" ht="13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spans="1:17" ht="13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spans="1:17" ht="13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spans="1:17" ht="13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spans="1:17" ht="13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spans="1:17" ht="13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spans="1:17" ht="13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spans="1:17" ht="13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spans="1:17" ht="13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spans="1:17" ht="13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spans="1:17" ht="13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spans="1:17" ht="13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spans="1:17" ht="13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spans="1:17" ht="13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spans="1:17" ht="13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spans="1:17" ht="13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spans="1:17" ht="13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spans="1:17" ht="13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spans="1:17" ht="13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spans="1:17" ht="13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spans="1:17" ht="13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spans="1:17" ht="13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spans="1:17" ht="13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spans="1:17" ht="13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spans="1:17" ht="13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spans="1:17" ht="13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spans="1:17" ht="13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spans="1:17" ht="13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spans="1:17" ht="13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spans="1:17" ht="13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spans="1:17" ht="13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spans="1:17" ht="13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spans="1:17" ht="13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spans="1:17" ht="13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spans="1:17" ht="13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spans="1:17" ht="13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spans="1:17" ht="13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spans="1:17" ht="13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spans="1:17" ht="13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spans="1:17" ht="13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spans="1:17" ht="13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spans="1:17" ht="13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spans="1:17" ht="13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spans="1:17" ht="13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spans="1:17" ht="13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spans="1:17" ht="13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spans="1:17" ht="13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spans="1:17" ht="13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spans="1:17" ht="13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spans="1:17" ht="13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spans="1:17" ht="13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spans="1:17" ht="13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spans="1:17" ht="13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spans="1:17" ht="13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spans="1:17" ht="13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spans="1:17" ht="13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spans="1:17" ht="13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spans="1:17" ht="13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spans="1:17" ht="13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spans="1:17" ht="13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spans="1:17" ht="13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spans="1:17" ht="13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spans="1:17" ht="13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spans="1:17" ht="13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spans="1:17" ht="13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spans="1:17" ht="13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spans="1:17" ht="13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spans="1:17" ht="13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spans="1:17" ht="13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spans="1:17" ht="13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spans="1:17" ht="13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spans="1:17" ht="13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spans="1:17" ht="13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spans="1:17" ht="13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spans="1:17" ht="13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spans="1:17" ht="13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spans="1:17" ht="13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spans="1:17" ht="13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spans="1:17" ht="13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spans="1:17" ht="13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spans="1:17" ht="13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spans="1:17" ht="13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spans="1:17" ht="13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spans="1:17" ht="13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spans="1:17" ht="13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spans="1:17" ht="13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spans="1:17" ht="13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spans="1:17" ht="13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spans="1:17" ht="13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spans="1:17" ht="13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spans="1:17" ht="13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spans="1:17" ht="13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spans="1:17" ht="13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spans="1:17" ht="13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spans="1:17" ht="13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spans="1:17" ht="13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spans="1:17" ht="13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spans="1:17" ht="13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spans="1:17" ht="13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spans="1:17" ht="13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spans="1:17" ht="13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spans="1:17" ht="13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spans="1:17" ht="13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spans="1:17" ht="13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spans="1:17" ht="13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spans="1:17" ht="13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spans="1:17" ht="13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spans="1:17" ht="13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spans="1:17" ht="13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spans="1:17" ht="13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spans="1:17" ht="13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spans="1:17" ht="13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spans="1:17" ht="13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spans="1:17" ht="13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spans="1:17" ht="13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spans="1:17" ht="13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spans="1:17" ht="13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spans="1:17" ht="13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spans="1:17" ht="13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spans="1:17" ht="13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spans="1:17" ht="13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spans="1:17" ht="13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spans="1:17" ht="13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spans="1:17" ht="13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spans="1:17" ht="13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spans="1:17" ht="13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spans="1:17" ht="13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spans="1:17" ht="13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spans="1:17" ht="13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spans="1:17" ht="13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spans="1:17" ht="13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spans="1:17" ht="13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spans="1:17" ht="13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spans="1:17" ht="13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spans="1:17" ht="13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spans="1:17" ht="13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spans="1:17" ht="13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spans="1:17" ht="13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spans="1:17" ht="13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spans="1:17" ht="13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spans="1:17" ht="13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spans="1:17" ht="13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spans="1:17" ht="13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spans="1:17" ht="13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spans="1:17" ht="13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spans="1:17" ht="13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spans="1:17" ht="13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spans="1:17" ht="13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spans="1:17" ht="13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spans="1:17" ht="13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spans="1:17" ht="13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spans="1:17" ht="13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spans="1:17" ht="13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spans="1:17" ht="13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spans="1:17" ht="13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spans="1:17" ht="13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spans="1:17" ht="13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spans="1:17" ht="13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spans="1:17" ht="13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spans="1:17" ht="13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spans="1:17" ht="13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spans="1:17" ht="13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spans="1:17" ht="13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spans="1:17" ht="13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spans="1:17" ht="13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spans="1:17" ht="13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spans="1:17" ht="13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spans="1:17" ht="13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spans="1:17" ht="13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spans="1:17" ht="13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spans="1:17" ht="13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spans="1:17" ht="13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spans="1:17" ht="13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spans="1:17" ht="13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spans="1:17" ht="13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spans="1:17" ht="13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spans="1:17" ht="13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spans="1:17" ht="13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spans="1:17" ht="13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spans="1:17" ht="13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spans="1:17" ht="13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spans="1:17" ht="13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spans="1:17" ht="13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spans="1:17" ht="13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spans="1:17" ht="13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spans="1:17" ht="13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spans="1:17" ht="13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spans="1:17" ht="13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spans="1:17" ht="13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spans="1:17" ht="13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spans="1:17" ht="13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spans="1:17" ht="13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spans="1:17" ht="13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spans="1:17" ht="13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spans="1:17" ht="13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spans="1:17" ht="13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spans="1:17" ht="13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spans="1:17" ht="13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spans="1:17" ht="13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spans="1:17" ht="13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spans="1:17" ht="13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spans="1:17" ht="13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spans="1:17" ht="13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spans="1:17" ht="13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spans="1:17" ht="13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spans="1:17" ht="13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spans="1:17" ht="13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spans="1:17" ht="13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spans="1:17" ht="13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spans="1:17" ht="13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spans="1:17" ht="13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spans="1:17" ht="13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spans="1:17" ht="13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spans="1:17" ht="13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spans="1:17" ht="13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spans="1:17" ht="13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spans="1:17" ht="13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spans="1:17" ht="13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spans="1:17" ht="13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spans="1:17" ht="13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spans="1:17" ht="13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spans="1:17" ht="13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spans="1:17" ht="13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spans="1:17" ht="13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spans="1:17" ht="13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spans="1:17" ht="13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spans="1:17" ht="13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spans="1:17" ht="13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spans="1:17" ht="13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spans="1:17" ht="13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spans="1:17" ht="13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spans="1:17" ht="13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spans="1:17" ht="13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spans="1:17" ht="13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spans="1:17" ht="13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spans="1:17" ht="13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spans="1:17" ht="13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spans="1:17" ht="13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spans="1:17" ht="13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spans="1:17" ht="13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spans="1:17" ht="13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spans="1:17" ht="13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spans="1:17" ht="13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spans="1:17" ht="13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spans="1:17" ht="13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spans="1:17" ht="13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spans="1:17" ht="13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spans="1:17" ht="13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spans="1:17" ht="13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spans="1:17" ht="13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spans="1:17" ht="13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spans="1:17" ht="13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spans="1:17" ht="13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spans="1:17" ht="13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spans="1:17" ht="13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spans="1:17" ht="13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spans="1:17" ht="13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spans="1:17" ht="13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spans="1:17" ht="13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spans="1:17" ht="13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spans="1:17" ht="13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spans="1:17" ht="13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spans="1:17" ht="13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spans="1:17" ht="13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spans="1:17" ht="13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spans="1:17" ht="13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spans="1:17" ht="13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spans="1:17" ht="13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spans="1:17" ht="13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spans="1:17" ht="13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spans="1:17" ht="13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spans="1:17" ht="13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spans="1:17" ht="13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spans="1:17" ht="13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spans="1:17" ht="13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spans="1:17" ht="13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spans="1:17" ht="13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spans="1:17" ht="13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spans="1:17" ht="13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spans="1:17" ht="13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spans="1:17" ht="13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spans="1:17" ht="13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spans="1:17" ht="13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spans="1:17" ht="13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spans="1:17" ht="13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spans="1:17" ht="13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spans="1:17" ht="13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spans="1:17" ht="13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spans="1:17" ht="13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spans="1:17" ht="13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spans="1:17" ht="13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spans="1:17" ht="13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spans="1:17" ht="13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spans="1:17" ht="13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spans="1:17" ht="13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spans="1:17" ht="13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spans="1:17" ht="13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spans="1:17" ht="13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spans="1:17" ht="13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spans="1:17" ht="13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spans="1:17" ht="13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spans="1:17" ht="13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spans="1:17" ht="13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spans="1:17" ht="13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spans="1:17" ht="13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spans="1:17" ht="13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spans="1:17" ht="13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spans="1:17" ht="13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spans="1:17" ht="13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spans="1:17" ht="13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spans="1:17" ht="13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spans="1:17" ht="13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spans="1:17" ht="13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spans="1:17" ht="13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spans="1:17" ht="13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spans="1:17" ht="13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spans="1:17" ht="13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spans="1:17" ht="13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spans="1:17" ht="13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spans="1:17" ht="13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spans="1:17" ht="13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spans="1:17" ht="13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  <row r="973" spans="1:17" ht="13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</row>
    <row r="974" spans="1:17" ht="13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</row>
    <row r="975" spans="1:17" ht="13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</row>
    <row r="976" spans="1:17" ht="13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</row>
    <row r="977" spans="1:17" ht="13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</row>
    <row r="978" spans="1:17" ht="13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</row>
    <row r="979" spans="1:17" ht="13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</row>
    <row r="980" spans="1:17" ht="13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</row>
    <row r="981" spans="1:17" ht="13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</row>
    <row r="982" spans="1:17" ht="13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</row>
    <row r="983" spans="1:17" ht="13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</row>
    <row r="984" spans="1:17" ht="13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</row>
    <row r="985" spans="1:17" ht="13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</row>
    <row r="986" spans="1:17" ht="13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</row>
    <row r="987" spans="1:17" ht="13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</row>
    <row r="988" spans="1:17" ht="13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</row>
    <row r="989" spans="1:17" ht="13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</row>
    <row r="990" spans="1:17" ht="13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</row>
    <row r="991" spans="1:17" ht="13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</row>
    <row r="992" spans="1:17" ht="13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</row>
    <row r="993" spans="1:17" ht="13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</row>
    <row r="994" spans="1:17" ht="13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</row>
    <row r="995" spans="1:17" ht="13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</row>
    <row r="996" spans="1:17" ht="13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</row>
    <row r="997" spans="1:17" ht="13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</row>
    <row r="998" spans="1:17" ht="13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</row>
    <row r="999" spans="1:17" ht="13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</row>
    <row r="1000" spans="1:17" ht="13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</row>
    <row r="1001" spans="1:17" ht="13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</row>
    <row r="1002" spans="1:17" ht="13.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</row>
    <row r="1003" spans="1:17" ht="13.2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</row>
    <row r="1004" spans="1:17" ht="13.2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</row>
    <row r="1005" spans="1:17" ht="13.2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</row>
    <row r="1006" spans="1:17" ht="13.2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</row>
    <row r="1007" spans="1:17" ht="13.2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</row>
    <row r="1008" spans="1:17" ht="13.2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</row>
    <row r="1009" spans="1:17" ht="13.2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</row>
    <row r="1010" spans="1:17" ht="13.2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</row>
    <row r="1011" spans="1:17" ht="13.2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</row>
    <row r="1012" spans="1:17" ht="13.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</row>
    <row r="1013" spans="1:17" ht="13.2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</row>
    <row r="1014" spans="1:17" ht="13.2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</row>
    <row r="1015" spans="1:17" ht="13.2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</row>
    <row r="1016" spans="1:17" ht="13.2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</row>
    <row r="1017" spans="1:17" ht="13.2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</row>
    <row r="1018" spans="1:17" ht="13.2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</row>
    <row r="1019" spans="1:17" ht="13.2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</row>
    <row r="1020" spans="1:17" ht="13.2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</row>
    <row r="1021" spans="1:17" ht="13.2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</row>
    <row r="1022" spans="1:17" ht="13.2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</row>
    <row r="1023" spans="1:17" ht="13.2">
      <c r="A1023" s="2"/>
      <c r="B1023" s="2"/>
      <c r="C1023" s="2"/>
      <c r="D1023" s="2"/>
    </row>
    <row r="1024" spans="1:17" ht="13.2">
      <c r="A1024" s="2"/>
      <c r="B1024" s="2"/>
      <c r="C1024" s="2"/>
      <c r="D1024" s="2"/>
    </row>
    <row r="1025" spans="1:4" ht="13.2">
      <c r="A1025" s="2"/>
      <c r="B1025" s="2"/>
      <c r="C1025" s="2"/>
      <c r="D1025" s="2"/>
    </row>
    <row r="1026" spans="1:4" ht="13.2">
      <c r="A1026" s="2"/>
      <c r="B1026" s="2"/>
      <c r="C1026" s="2"/>
      <c r="D1026" s="2"/>
    </row>
    <row r="1027" spans="1:4" ht="13.2">
      <c r="A1027" s="2"/>
      <c r="B1027" s="2"/>
      <c r="C1027" s="2"/>
      <c r="D1027" s="2"/>
    </row>
    <row r="1028" spans="1:4" ht="13.2">
      <c r="A1028" s="2"/>
      <c r="B1028" s="2"/>
      <c r="C1028" s="2"/>
      <c r="D1028" s="2"/>
    </row>
    <row r="1029" spans="1:4" ht="13.2">
      <c r="A1029" s="2"/>
      <c r="B1029" s="2"/>
      <c r="C1029" s="2"/>
      <c r="D1029" s="2"/>
    </row>
  </sheetData>
  <mergeCells count="1">
    <mergeCell ref="F12:G12"/>
  </mergeCells>
  <hyperlinks>
    <hyperlink ref="A53" r:id="rId1" xr:uid="{00000000-0004-0000-1100-000000000000}"/>
  </hyperlinks>
  <pageMargins left="0.7" right="0.7" top="0.75" bottom="0.75" header="0.3" footer="0.3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  <outlinePr summaryBelow="0" summaryRight="0"/>
  </sheetPr>
  <dimension ref="A1:Z235"/>
  <sheetViews>
    <sheetView workbookViewId="0">
      <pane ySplit="8" topLeftCell="A9" activePane="bottomLeft" state="frozen"/>
      <selection activeCell="B2" sqref="B2:H2"/>
      <selection pane="bottomLeft" activeCell="H23" sqref="H23"/>
    </sheetView>
  </sheetViews>
  <sheetFormatPr defaultColWidth="12.5546875" defaultRowHeight="15.75" customHeight="1"/>
  <cols>
    <col min="1" max="1" width="27.44140625" customWidth="1"/>
    <col min="2" max="2" width="21.33203125" customWidth="1"/>
    <col min="3" max="3" width="23" customWidth="1"/>
    <col min="4" max="4" width="10.44140625" customWidth="1"/>
    <col min="5" max="5" width="11.109375" customWidth="1"/>
    <col min="6" max="6" width="10" customWidth="1"/>
    <col min="7" max="7" width="9.6640625" customWidth="1"/>
    <col min="8" max="8" width="26.6640625" customWidth="1"/>
    <col min="21" max="21" width="6.109375" customWidth="1"/>
  </cols>
  <sheetData>
    <row r="1" spans="1:26" s="250" customFormat="1" ht="27.6" customHeight="1">
      <c r="A1" s="249" t="s">
        <v>743</v>
      </c>
    </row>
    <row r="2" spans="1:26" ht="13.2">
      <c r="B2" s="20"/>
      <c r="P2" s="20"/>
      <c r="S2" s="20"/>
      <c r="T2" s="20"/>
    </row>
    <row r="3" spans="1:26" ht="13.2">
      <c r="B3" s="251" t="s">
        <v>2</v>
      </c>
      <c r="C3" s="252">
        <f>'Project Reductions Details'!C3</f>
        <v>2050</v>
      </c>
      <c r="E3" s="20"/>
      <c r="F3" s="20"/>
      <c r="I3" s="25"/>
      <c r="J3" s="116"/>
      <c r="P3" s="20"/>
      <c r="S3" s="20"/>
      <c r="T3" s="20"/>
    </row>
    <row r="4" spans="1:26" ht="13.2">
      <c r="B4" s="73" t="s">
        <v>554</v>
      </c>
      <c r="C4" s="145">
        <f>'Project Reductions Details'!B25</f>
        <v>0.5</v>
      </c>
      <c r="E4" s="20" t="s">
        <v>555</v>
      </c>
      <c r="F4" s="20">
        <f>'Project Reductions Details'!B29</f>
        <v>3</v>
      </c>
      <c r="J4" s="116"/>
      <c r="P4" s="20"/>
      <c r="S4" s="20"/>
      <c r="T4" s="20"/>
    </row>
    <row r="5" spans="1:26" ht="13.2">
      <c r="B5" s="73" t="s">
        <v>556</v>
      </c>
      <c r="C5" s="145">
        <f>'Project Reductions Details'!B26</f>
        <v>0</v>
      </c>
      <c r="F5" s="20"/>
      <c r="P5" s="20"/>
      <c r="S5" s="20"/>
      <c r="T5" s="20"/>
    </row>
    <row r="6" spans="1:26" ht="13.2">
      <c r="B6" s="73" t="s">
        <v>557</v>
      </c>
      <c r="C6" s="73" t="str">
        <f>'Project Reductions Details'!B27</f>
        <v>No</v>
      </c>
      <c r="F6" s="20"/>
      <c r="P6" s="20"/>
      <c r="S6" s="20"/>
      <c r="T6" s="20"/>
    </row>
    <row r="7" spans="1:26" ht="13.2">
      <c r="B7" s="73" t="s">
        <v>558</v>
      </c>
      <c r="C7" s="73" t="str">
        <f>'Project Reductions Details'!B28</f>
        <v>No</v>
      </c>
      <c r="F7" s="20"/>
      <c r="P7" s="20"/>
      <c r="S7" s="20"/>
      <c r="T7" s="20"/>
    </row>
    <row r="8" spans="1:26" ht="13.2">
      <c r="B8" s="73" t="s">
        <v>559</v>
      </c>
      <c r="C8" s="95">
        <f ca="1">'Project #2 - Virtual Power Plan'!I20/('res bld calcs'!P4*1000000)</f>
        <v>9.9920280105977491E-2</v>
      </c>
      <c r="P8" s="20"/>
      <c r="S8" s="20"/>
      <c r="T8" s="20"/>
    </row>
    <row r="9" spans="1:26" ht="47.25" customHeight="1">
      <c r="B9" s="221" t="s">
        <v>560</v>
      </c>
      <c r="C9" s="222"/>
      <c r="D9" s="221" t="s">
        <v>561</v>
      </c>
      <c r="E9" s="221" t="s">
        <v>562</v>
      </c>
      <c r="H9" s="45" t="s">
        <v>563</v>
      </c>
      <c r="I9" s="292" t="s">
        <v>566</v>
      </c>
      <c r="J9" s="292"/>
      <c r="K9" s="292"/>
      <c r="P9" s="20" t="s">
        <v>564</v>
      </c>
      <c r="V9" s="20" t="s">
        <v>565</v>
      </c>
    </row>
    <row r="10" spans="1:26" ht="13.2">
      <c r="A10" s="108" t="str">
        <f t="shared" ref="A10:A21" si="0">B10&amp;C10</f>
        <v>GreeneMobile Home</v>
      </c>
      <c r="B10" s="221" t="s">
        <v>5</v>
      </c>
      <c r="C10" s="221" t="s">
        <v>366</v>
      </c>
      <c r="D10" s="231">
        <v>0</v>
      </c>
      <c r="E10" s="227">
        <f ca="1">VLOOKUP(A10,'res bld data'!$A$3:$H$37,7,FALSE)</f>
        <v>817</v>
      </c>
      <c r="F10" s="124">
        <f t="shared" ref="F10:F21" ca="1" si="1">E10-D10</f>
        <v>817</v>
      </c>
      <c r="P10" s="20" t="s">
        <v>399</v>
      </c>
      <c r="S10" s="20" t="s">
        <v>400</v>
      </c>
      <c r="T10" s="20" t="s">
        <v>400</v>
      </c>
      <c r="V10" s="20" t="s">
        <v>399</v>
      </c>
      <c r="Y10" s="20" t="s">
        <v>400</v>
      </c>
      <c r="Z10" s="20" t="s">
        <v>400</v>
      </c>
    </row>
    <row r="11" spans="1:26" ht="13.2">
      <c r="A11" s="108" t="str">
        <f t="shared" si="0"/>
        <v>GreeneMulti-Family Apartment</v>
      </c>
      <c r="B11" s="221" t="s">
        <v>5</v>
      </c>
      <c r="C11" s="221" t="s">
        <v>371</v>
      </c>
      <c r="D11" s="231">
        <v>0</v>
      </c>
      <c r="E11" s="227">
        <f ca="1">VLOOKUP(A11,'res bld data'!$A$3:$H$37,7,FALSE)</f>
        <v>14755</v>
      </c>
      <c r="F11" s="124">
        <f t="shared" ca="1" si="1"/>
        <v>14755</v>
      </c>
      <c r="H11" s="20">
        <f t="array" ref="H11:K12">'res bld calcs'!K6:N7</f>
        <v>0</v>
      </c>
      <c r="I11" s="146" t="str">
        <v>Electricity</v>
      </c>
      <c r="J11" s="146" t="str">
        <v>Natural Gas</v>
      </c>
      <c r="K11" s="147" t="str">
        <v>Total</v>
      </c>
      <c r="M11" s="20" t="s">
        <v>27</v>
      </c>
      <c r="N11" s="20" t="s">
        <v>403</v>
      </c>
      <c r="O11" s="20" t="s">
        <v>404</v>
      </c>
      <c r="P11" s="20" t="s">
        <v>283</v>
      </c>
      <c r="Q11" s="20" t="s">
        <v>363</v>
      </c>
      <c r="R11" s="20" t="s">
        <v>405</v>
      </c>
      <c r="S11" s="20" t="s">
        <v>0</v>
      </c>
      <c r="T11" s="20" t="s">
        <v>14</v>
      </c>
      <c r="V11" s="20" t="s">
        <v>283</v>
      </c>
      <c r="W11" s="20" t="s">
        <v>363</v>
      </c>
      <c r="X11" s="20" t="s">
        <v>405</v>
      </c>
      <c r="Y11" s="20" t="s">
        <v>0</v>
      </c>
      <c r="Z11" s="20" t="s">
        <v>14</v>
      </c>
    </row>
    <row r="12" spans="1:26" ht="13.2">
      <c r="A12" s="108" t="str">
        <f t="shared" si="0"/>
        <v>GreeneAttached Condo Building</v>
      </c>
      <c r="B12" s="221" t="s">
        <v>5</v>
      </c>
      <c r="C12" s="221" t="s">
        <v>373</v>
      </c>
      <c r="D12" s="231">
        <v>0</v>
      </c>
      <c r="E12" s="227">
        <f ca="1">VLOOKUP(A12,'res bld data'!$A$3:$H$37,7,FALSE)</f>
        <v>3856</v>
      </c>
      <c r="F12" s="124">
        <f t="shared" ca="1" si="1"/>
        <v>3856</v>
      </c>
      <c r="H12" s="148" t="str">
        <v>Energy Use (MMBTU)</v>
      </c>
      <c r="I12" s="149">
        <v>13550438.80973856</v>
      </c>
      <c r="J12" s="149">
        <v>17526182.487</v>
      </c>
      <c r="K12" s="150">
        <v>31076621.296738558</v>
      </c>
      <c r="M12" s="20" t="s">
        <v>5</v>
      </c>
      <c r="N12" s="20" t="s">
        <v>366</v>
      </c>
      <c r="O12" s="20" t="s">
        <v>369</v>
      </c>
      <c r="P12" s="46">
        <f t="shared" ref="P12:Q12" ca="1" si="2">(1-$C$5)*V12</f>
        <v>2.8675391078366421</v>
      </c>
      <c r="Q12" s="46">
        <f t="shared" ca="1" si="2"/>
        <v>0</v>
      </c>
      <c r="R12" s="21">
        <f t="shared" ref="R12:R95" si="3">VLOOKUP(M12&amp;N12,$A$10:$D$41,4,FALSE)</f>
        <v>0</v>
      </c>
      <c r="S12" s="128">
        <f t="shared" ref="S12:T12" ca="1" si="4">$R12*P12</f>
        <v>0</v>
      </c>
      <c r="T12" s="128">
        <f t="shared" ca="1" si="4"/>
        <v>0</v>
      </c>
      <c r="V12" s="75">
        <f t="array" ref="V12:W235" ca="1">'res bld calcs'!E3:F226</f>
        <v>2.8675391078366421</v>
      </c>
      <c r="W12" s="75">
        <f ca="1"/>
        <v>0</v>
      </c>
      <c r="X12" s="21">
        <f ca="1">'res bld calcs'!G3-R12</f>
        <v>817</v>
      </c>
      <c r="Y12" s="128">
        <f t="shared" ref="Y12:Z12" ca="1" si="5">$X12*V12</f>
        <v>2342.7794511025368</v>
      </c>
      <c r="Z12" s="128">
        <f t="shared" ca="1" si="5"/>
        <v>0</v>
      </c>
    </row>
    <row r="13" spans="1:26" ht="13.2">
      <c r="A13" s="108" t="str">
        <f t="shared" si="0"/>
        <v>GreeneSingle-Family Housing</v>
      </c>
      <c r="B13" s="221" t="s">
        <v>5</v>
      </c>
      <c r="C13" s="221" t="s">
        <v>370</v>
      </c>
      <c r="D13" s="231">
        <v>0</v>
      </c>
      <c r="E13" s="227">
        <f ca="1">VLOOKUP(A13,'res bld data'!$A$3:$H$37,7,FALSE)</f>
        <v>51557</v>
      </c>
      <c r="F13" s="124">
        <f t="shared" ca="1" si="1"/>
        <v>51557</v>
      </c>
      <c r="H13" s="151" t="s">
        <v>409</v>
      </c>
      <c r="I13" s="152">
        <f ca="1">I12*C8</f>
        <v>1353963.6414279852</v>
      </c>
      <c r="J13" s="152">
        <f>J12*'Emissions Factors'!E52</f>
        <v>930259.97189973202</v>
      </c>
      <c r="K13" s="153">
        <f ca="1">SUM(I13:J13)</f>
        <v>2284223.6133277174</v>
      </c>
      <c r="M13" s="20" t="s">
        <v>5</v>
      </c>
      <c r="N13" s="20" t="s">
        <v>366</v>
      </c>
      <c r="O13" s="20" t="s">
        <v>372</v>
      </c>
      <c r="P13" s="46">
        <f t="shared" ref="P13:Q13" ca="1" si="6">(1-$C$5)*V13</f>
        <v>7.2435165235256127</v>
      </c>
      <c r="Q13" s="46">
        <f t="shared" ca="1" si="6"/>
        <v>0.77044639659470038</v>
      </c>
      <c r="R13" s="21">
        <f t="shared" si="3"/>
        <v>0</v>
      </c>
      <c r="S13" s="128">
        <f t="shared" ref="S13:T13" ca="1" si="7">$R13*P13</f>
        <v>0</v>
      </c>
      <c r="T13" s="128">
        <f t="shared" ca="1" si="7"/>
        <v>0</v>
      </c>
      <c r="V13" s="75">
        <f ca="1"/>
        <v>7.2435165235256127</v>
      </c>
      <c r="W13" s="75">
        <f ca="1"/>
        <v>0.77044639659470038</v>
      </c>
      <c r="X13" s="21">
        <f ca="1">'res bld calcs'!G4-R13</f>
        <v>817</v>
      </c>
      <c r="Y13" s="128">
        <f t="shared" ref="Y13:Z13" ca="1" si="8">$X13*V13</f>
        <v>5917.9529997204254</v>
      </c>
      <c r="Z13" s="128">
        <f t="shared" ca="1" si="8"/>
        <v>629.45470601787019</v>
      </c>
    </row>
    <row r="14" spans="1:26" ht="13.2">
      <c r="A14" s="108" t="str">
        <f t="shared" si="0"/>
        <v>MiamiMobile Home</v>
      </c>
      <c r="B14" s="221" t="s">
        <v>9</v>
      </c>
      <c r="C14" s="221" t="s">
        <v>366</v>
      </c>
      <c r="D14" s="231">
        <v>0</v>
      </c>
      <c r="E14" s="227">
        <f ca="1">VLOOKUP(A14,'res bld data'!$A$3:$H$37,7,FALSE)</f>
        <v>793</v>
      </c>
      <c r="F14" s="124">
        <f t="shared" ca="1" si="1"/>
        <v>793</v>
      </c>
      <c r="I14" s="21"/>
      <c r="M14" s="20" t="s">
        <v>5</v>
      </c>
      <c r="N14" s="20" t="s">
        <v>366</v>
      </c>
      <c r="O14" s="20" t="s">
        <v>374</v>
      </c>
      <c r="P14" s="46">
        <f t="shared" ref="P14:Q14" ca="1" si="9">(1-$C$5)*V14</f>
        <v>9.7225055436893069</v>
      </c>
      <c r="Q14" s="46">
        <f t="shared" ca="1" si="9"/>
        <v>0</v>
      </c>
      <c r="R14" s="21">
        <f t="shared" si="3"/>
        <v>0</v>
      </c>
      <c r="S14" s="128">
        <f t="shared" ref="S14:T14" ca="1" si="10">$R14*P14</f>
        <v>0</v>
      </c>
      <c r="T14" s="128">
        <f t="shared" ca="1" si="10"/>
        <v>0</v>
      </c>
      <c r="V14" s="75">
        <f ca="1"/>
        <v>9.7225055436893069</v>
      </c>
      <c r="W14" s="75">
        <f ca="1"/>
        <v>0</v>
      </c>
      <c r="X14" s="21">
        <f ca="1">'res bld calcs'!G5-R14</f>
        <v>817</v>
      </c>
      <c r="Y14" s="128">
        <f t="shared" ref="Y14:Z14" ca="1" si="11">$X14*V14</f>
        <v>7943.2870291941636</v>
      </c>
      <c r="Z14" s="128">
        <f t="shared" ca="1" si="11"/>
        <v>0</v>
      </c>
    </row>
    <row r="15" spans="1:26" ht="13.2">
      <c r="A15" s="108" t="str">
        <f t="shared" si="0"/>
        <v>MiamiMulti-Family Apartment</v>
      </c>
      <c r="B15" s="221" t="s">
        <v>9</v>
      </c>
      <c r="C15" s="221" t="s">
        <v>371</v>
      </c>
      <c r="D15" s="231">
        <v>0</v>
      </c>
      <c r="E15" s="227">
        <f ca="1">VLOOKUP(A15,'res bld data'!$A$3:$H$37,7,FALSE)</f>
        <v>7051</v>
      </c>
      <c r="F15" s="124">
        <f t="shared" ca="1" si="1"/>
        <v>7051</v>
      </c>
      <c r="H15" s="45" t="s">
        <v>522</v>
      </c>
      <c r="M15" s="20" t="s">
        <v>5</v>
      </c>
      <c r="N15" s="20" t="s">
        <v>366</v>
      </c>
      <c r="O15" s="20" t="s">
        <v>375</v>
      </c>
      <c r="P15" s="46">
        <f t="shared" ref="P15:Q15" ca="1" si="12">(1-$C$5)*V15</f>
        <v>7.3714731247348739</v>
      </c>
      <c r="Q15" s="46">
        <f t="shared" ca="1" si="12"/>
        <v>0</v>
      </c>
      <c r="R15" s="21">
        <f t="shared" si="3"/>
        <v>0</v>
      </c>
      <c r="S15" s="128">
        <f t="shared" ref="S15:T15" ca="1" si="13">$R15*P15</f>
        <v>0</v>
      </c>
      <c r="T15" s="128">
        <f t="shared" ca="1" si="13"/>
        <v>0</v>
      </c>
      <c r="V15" s="75">
        <f ca="1"/>
        <v>7.3714731247348739</v>
      </c>
      <c r="W15" s="75">
        <f ca="1"/>
        <v>0</v>
      </c>
      <c r="X15" s="21">
        <f ca="1">'res bld calcs'!G6-R15</f>
        <v>817</v>
      </c>
      <c r="Y15" s="128">
        <f t="shared" ref="Y15:Z15" ca="1" si="14">$X15*V15</f>
        <v>6022.4935429083916</v>
      </c>
      <c r="Z15" s="128">
        <f t="shared" ca="1" si="14"/>
        <v>0</v>
      </c>
    </row>
    <row r="16" spans="1:26" ht="13.2">
      <c r="A16" s="108" t="str">
        <f t="shared" si="0"/>
        <v>MiamiAttached Condo Building</v>
      </c>
      <c r="B16" s="221" t="s">
        <v>9</v>
      </c>
      <c r="C16" s="221" t="s">
        <v>373</v>
      </c>
      <c r="D16" s="231">
        <v>0</v>
      </c>
      <c r="E16" s="227">
        <f ca="1">VLOOKUP(A16,'res bld data'!$A$3:$H$37,7,FALSE)</f>
        <v>1763</v>
      </c>
      <c r="F16" s="124">
        <f t="shared" ca="1" si="1"/>
        <v>1763</v>
      </c>
      <c r="I16" s="146" t="s">
        <v>0</v>
      </c>
      <c r="J16" s="146" t="s">
        <v>14</v>
      </c>
      <c r="K16" s="147" t="s">
        <v>32</v>
      </c>
      <c r="M16" s="20" t="s">
        <v>5</v>
      </c>
      <c r="N16" s="20" t="s">
        <v>366</v>
      </c>
      <c r="O16" s="20" t="s">
        <v>376</v>
      </c>
      <c r="P16" s="46">
        <f t="shared" ref="P16:Q16" ca="1" si="15">(1-$C$5)*V16</f>
        <v>11.67194231498674</v>
      </c>
      <c r="Q16" s="46">
        <f t="shared" ca="1" si="15"/>
        <v>0</v>
      </c>
      <c r="R16" s="21">
        <f t="shared" si="3"/>
        <v>0</v>
      </c>
      <c r="S16" s="128">
        <f t="shared" ref="S16:T16" ca="1" si="16">$R16*P16</f>
        <v>0</v>
      </c>
      <c r="T16" s="128">
        <f t="shared" ca="1" si="16"/>
        <v>0</v>
      </c>
      <c r="V16" s="75">
        <f ca="1"/>
        <v>11.67194231498674</v>
      </c>
      <c r="W16" s="75">
        <f ca="1"/>
        <v>0</v>
      </c>
      <c r="X16" s="21">
        <f ca="1">'res bld calcs'!G7-R16</f>
        <v>817</v>
      </c>
      <c r="Y16" s="128">
        <f t="shared" ref="Y16:Z16" ca="1" si="17">$X16*V16</f>
        <v>9535.9768713441663</v>
      </c>
      <c r="Z16" s="128">
        <f t="shared" ca="1" si="17"/>
        <v>0</v>
      </c>
    </row>
    <row r="17" spans="1:26" ht="13.2">
      <c r="A17" s="108" t="str">
        <f t="shared" si="0"/>
        <v>MiamiSingle-Family Housing</v>
      </c>
      <c r="B17" s="221" t="s">
        <v>9</v>
      </c>
      <c r="C17" s="221" t="s">
        <v>370</v>
      </c>
      <c r="D17" s="231">
        <v>0</v>
      </c>
      <c r="E17" s="227">
        <f ca="1">VLOOKUP(A17,'res bld data'!$A$3:$H$37,7,FALSE)</f>
        <v>36903</v>
      </c>
      <c r="F17" s="124">
        <f t="shared" ca="1" si="1"/>
        <v>36903</v>
      </c>
      <c r="H17" s="148" t="s">
        <v>407</v>
      </c>
      <c r="I17" s="149">
        <f t="shared" ref="I17:J17" ca="1" si="18">SUM(S12:S235)+SUM(Y12:Y235)</f>
        <v>13545108.402335435</v>
      </c>
      <c r="J17" s="149">
        <f t="shared" ca="1" si="18"/>
        <v>17504432.609531671</v>
      </c>
      <c r="K17" s="150">
        <f t="shared" ref="K17:K18" ca="1" si="19">I17+J17</f>
        <v>31049541.011867106</v>
      </c>
      <c r="M17" s="20" t="s">
        <v>5</v>
      </c>
      <c r="N17" s="20" t="s">
        <v>366</v>
      </c>
      <c r="O17" s="20" t="s">
        <v>377</v>
      </c>
      <c r="P17" s="46">
        <f ca="1">IF($C$6="Yes",((1-$C$4)*W17/$F$4)+V17,(1-$C$4)*V17)</f>
        <v>0.42880420353036341</v>
      </c>
      <c r="Q17" s="46">
        <f ca="1">IF($C$6="Yes",0,(1-$C$4)*W17)</f>
        <v>18.320629313192615</v>
      </c>
      <c r="R17" s="21">
        <f t="shared" si="3"/>
        <v>0</v>
      </c>
      <c r="S17" s="128">
        <f t="shared" ref="S17:T17" ca="1" si="20">$R17*P17</f>
        <v>0</v>
      </c>
      <c r="T17" s="128">
        <f t="shared" ca="1" si="20"/>
        <v>0</v>
      </c>
      <c r="V17" s="75">
        <f ca="1"/>
        <v>0.85760840706072683</v>
      </c>
      <c r="W17" s="75">
        <f ca="1"/>
        <v>36.64125862638523</v>
      </c>
      <c r="X17" s="21">
        <f ca="1">'res bld calcs'!G8-R17</f>
        <v>817</v>
      </c>
      <c r="Y17" s="128">
        <f t="shared" ref="Y17:Z17" ca="1" si="21">$X17*V17</f>
        <v>700.66606856861381</v>
      </c>
      <c r="Z17" s="128">
        <f t="shared" ca="1" si="21"/>
        <v>29935.908297756734</v>
      </c>
    </row>
    <row r="18" spans="1:26" ht="13.2">
      <c r="A18" s="108" t="str">
        <f t="shared" si="0"/>
        <v>MontgomeryMobile Home</v>
      </c>
      <c r="B18" s="221" t="s">
        <v>10</v>
      </c>
      <c r="C18" s="221" t="s">
        <v>366</v>
      </c>
      <c r="D18" s="231">
        <v>0</v>
      </c>
      <c r="E18" s="227">
        <f ca="1">VLOOKUP(A18,'res bld data'!$A$3:$H$37,7,FALSE)</f>
        <v>3530</v>
      </c>
      <c r="F18" s="124">
        <f t="shared" ca="1" si="1"/>
        <v>3530</v>
      </c>
      <c r="H18" s="151" t="s">
        <v>409</v>
      </c>
      <c r="I18" s="152">
        <f ca="1">I17*$C$8</f>
        <v>1353431.0256271858</v>
      </c>
      <c r="J18" s="152">
        <f ca="1">J17*'res bld calcs'!$P$12</f>
        <v>929105.52537850477</v>
      </c>
      <c r="K18" s="153">
        <f t="shared" ca="1" si="19"/>
        <v>2282536.5510056904</v>
      </c>
      <c r="M18" s="20" t="s">
        <v>5</v>
      </c>
      <c r="N18" s="20" t="s">
        <v>366</v>
      </c>
      <c r="O18" s="20" t="s">
        <v>378</v>
      </c>
      <c r="P18" s="46">
        <f ca="1">IF($C$7="Yes",((1-$C$5)*W18/$F$4)+V18,(1-$C$5)*V18)</f>
        <v>0</v>
      </c>
      <c r="Q18" s="46">
        <f ca="1">IF($C$7="Yes",0,(1-$C$5)*W18)</f>
        <v>5.0850618996093386</v>
      </c>
      <c r="R18" s="21">
        <f t="shared" si="3"/>
        <v>0</v>
      </c>
      <c r="S18" s="128">
        <f t="shared" ref="S18:T18" ca="1" si="22">$R18*P18</f>
        <v>0</v>
      </c>
      <c r="T18" s="128">
        <f t="shared" ca="1" si="22"/>
        <v>0</v>
      </c>
      <c r="V18" s="75">
        <f ca="1"/>
        <v>0</v>
      </c>
      <c r="W18" s="75">
        <f ca="1"/>
        <v>5.0850618996093386</v>
      </c>
      <c r="X18" s="21">
        <f ca="1">'res bld calcs'!G9-R18</f>
        <v>817</v>
      </c>
      <c r="Y18" s="128">
        <f t="shared" ref="Y18:Z18" ca="1" si="23">$X18*V18</f>
        <v>0</v>
      </c>
      <c r="Z18" s="128">
        <f t="shared" ca="1" si="23"/>
        <v>4154.4955719808295</v>
      </c>
    </row>
    <row r="19" spans="1:26" ht="13.2">
      <c r="A19" s="108" t="str">
        <f t="shared" si="0"/>
        <v>MontgomeryMulti-Family Apartment</v>
      </c>
      <c r="B19" s="221" t="s">
        <v>10</v>
      </c>
      <c r="C19" s="221" t="s">
        <v>371</v>
      </c>
      <c r="D19" s="231">
        <v>0</v>
      </c>
      <c r="E19" s="227">
        <f ca="1">VLOOKUP(A19,'res bld data'!$A$3:$H$37,7,FALSE)</f>
        <v>60947</v>
      </c>
      <c r="F19" s="124">
        <f t="shared" ca="1" si="1"/>
        <v>60947</v>
      </c>
      <c r="M19" s="20" t="s">
        <v>5</v>
      </c>
      <c r="N19" s="20" t="s">
        <v>371</v>
      </c>
      <c r="O19" s="20" t="s">
        <v>369</v>
      </c>
      <c r="P19" s="46">
        <f t="shared" ref="P19:Q19" ca="1" si="24">(1-$C$5)*V19</f>
        <v>3.9206774734109961</v>
      </c>
      <c r="Q19" s="46">
        <f t="shared" ca="1" si="24"/>
        <v>0</v>
      </c>
      <c r="R19" s="21">
        <f t="shared" si="3"/>
        <v>0</v>
      </c>
      <c r="S19" s="128">
        <f t="shared" ref="S19:T19" ca="1" si="25">$R19*P19</f>
        <v>0</v>
      </c>
      <c r="T19" s="128">
        <f t="shared" ca="1" si="25"/>
        <v>0</v>
      </c>
      <c r="V19" s="75">
        <f ca="1"/>
        <v>3.9206774734109961</v>
      </c>
      <c r="W19" s="75">
        <f ca="1"/>
        <v>0</v>
      </c>
      <c r="X19" s="21">
        <f ca="1">'res bld calcs'!G10-R19</f>
        <v>14755</v>
      </c>
      <c r="Y19" s="128">
        <f t="shared" ref="Y19:Z19" ca="1" si="26">$X19*V19</f>
        <v>57849.596120179245</v>
      </c>
      <c r="Z19" s="128">
        <f t="shared" ca="1" si="26"/>
        <v>0</v>
      </c>
    </row>
    <row r="20" spans="1:26" ht="13.2">
      <c r="A20" s="108" t="str">
        <f t="shared" si="0"/>
        <v>MontgomeryAttached Condo Building</v>
      </c>
      <c r="B20" s="221" t="s">
        <v>10</v>
      </c>
      <c r="C20" s="221" t="s">
        <v>373</v>
      </c>
      <c r="D20" s="231">
        <v>0</v>
      </c>
      <c r="E20" s="227">
        <f ca="1">VLOOKUP(A20,'res bld data'!$A$3:$H$37,7,FALSE)</f>
        <v>16893</v>
      </c>
      <c r="F20" s="124">
        <f t="shared" ca="1" si="1"/>
        <v>16893</v>
      </c>
      <c r="M20" s="20" t="s">
        <v>5</v>
      </c>
      <c r="N20" s="20" t="s">
        <v>371</v>
      </c>
      <c r="O20" s="20" t="s">
        <v>372</v>
      </c>
      <c r="P20" s="46">
        <f t="shared" ref="P20:Q20" ca="1" si="27">(1-$C$5)*V20</f>
        <v>4.8994658738373298</v>
      </c>
      <c r="Q20" s="46">
        <f t="shared" ca="1" si="27"/>
        <v>0.95341831204924066</v>
      </c>
      <c r="R20" s="21">
        <f t="shared" si="3"/>
        <v>0</v>
      </c>
      <c r="S20" s="128">
        <f t="shared" ref="S20:T20" ca="1" si="28">$R20*P20</f>
        <v>0</v>
      </c>
      <c r="T20" s="128">
        <f t="shared" ca="1" si="28"/>
        <v>0</v>
      </c>
      <c r="V20" s="75">
        <f ca="1"/>
        <v>4.8994658738373298</v>
      </c>
      <c r="W20" s="75">
        <f ca="1"/>
        <v>0.95341831204924066</v>
      </c>
      <c r="X20" s="21">
        <f ca="1">'res bld calcs'!G11-R20</f>
        <v>14755</v>
      </c>
      <c r="Y20" s="128">
        <f t="shared" ref="Y20:Z20" ca="1" si="29">$X20*V20</f>
        <v>72291.618968469804</v>
      </c>
      <c r="Z20" s="128">
        <f t="shared" ca="1" si="29"/>
        <v>14067.687194286545</v>
      </c>
    </row>
    <row r="21" spans="1:26" ht="13.2">
      <c r="A21" s="108" t="str">
        <f t="shared" si="0"/>
        <v>MontgomerySingle-Family Housing</v>
      </c>
      <c r="B21" s="221" t="s">
        <v>10</v>
      </c>
      <c r="C21" s="221" t="s">
        <v>370</v>
      </c>
      <c r="D21" s="227">
        <f>IF(C3=2027,100,IF(C3=2028,250,IF(C3=2029,500,IF(C3&gt;=2030,1000,0))))</f>
        <v>1000</v>
      </c>
      <c r="E21" s="227">
        <f ca="1">VLOOKUP(A21,'res bld data'!$A$3:$H$37,7,FALSE)</f>
        <v>170526</v>
      </c>
      <c r="F21" s="124">
        <f t="shared" ca="1" si="1"/>
        <v>169526</v>
      </c>
      <c r="M21" s="20" t="s">
        <v>5</v>
      </c>
      <c r="N21" s="20" t="s">
        <v>371</v>
      </c>
      <c r="O21" s="20" t="s">
        <v>374</v>
      </c>
      <c r="P21" s="46">
        <f t="shared" ref="P21:Q21" ca="1" si="30">(1-$C$5)*V21</f>
        <v>6.6316514176372108</v>
      </c>
      <c r="Q21" s="46">
        <f t="shared" ca="1" si="30"/>
        <v>0</v>
      </c>
      <c r="R21" s="21">
        <f t="shared" si="3"/>
        <v>0</v>
      </c>
      <c r="S21" s="128">
        <f t="shared" ref="S21:T21" ca="1" si="31">$R21*P21</f>
        <v>0</v>
      </c>
      <c r="T21" s="128">
        <f t="shared" ca="1" si="31"/>
        <v>0</v>
      </c>
      <c r="V21" s="75">
        <f ca="1"/>
        <v>6.6316514176372108</v>
      </c>
      <c r="W21" s="75">
        <f ca="1"/>
        <v>0</v>
      </c>
      <c r="X21" s="21">
        <f ca="1">'res bld calcs'!G12-R21</f>
        <v>14755</v>
      </c>
      <c r="Y21" s="128">
        <f t="shared" ref="Y21:Z21" ca="1" si="32">$X21*V21</f>
        <v>97850.01666723704</v>
      </c>
      <c r="Z21" s="128">
        <f t="shared" ca="1" si="32"/>
        <v>0</v>
      </c>
    </row>
    <row r="22" spans="1:26" ht="13.2">
      <c r="A22" s="108"/>
      <c r="D22" s="21"/>
      <c r="E22" s="21"/>
      <c r="F22" s="108"/>
      <c r="M22" s="20" t="s">
        <v>5</v>
      </c>
      <c r="N22" s="20" t="s">
        <v>371</v>
      </c>
      <c r="O22" s="20" t="s">
        <v>375</v>
      </c>
      <c r="P22" s="46">
        <f t="shared" ref="P22:Q22" ca="1" si="33">(1-$C$5)*V22</f>
        <v>1.9994101790913115</v>
      </c>
      <c r="Q22" s="46">
        <f t="shared" ca="1" si="33"/>
        <v>0</v>
      </c>
      <c r="R22" s="21">
        <f t="shared" si="3"/>
        <v>0</v>
      </c>
      <c r="S22" s="128">
        <f t="shared" ref="S22:T22" ca="1" si="34">$R22*P22</f>
        <v>0</v>
      </c>
      <c r="T22" s="128">
        <f t="shared" ca="1" si="34"/>
        <v>0</v>
      </c>
      <c r="V22" s="75">
        <f ca="1"/>
        <v>1.9994101790913115</v>
      </c>
      <c r="W22" s="75">
        <f ca="1"/>
        <v>0</v>
      </c>
      <c r="X22" s="21">
        <f ca="1">'res bld calcs'!G13-R22</f>
        <v>14755</v>
      </c>
      <c r="Y22" s="128">
        <f t="shared" ref="Y22:Z22" ca="1" si="35">$X22*V22</f>
        <v>29501.2971924923</v>
      </c>
      <c r="Z22" s="128">
        <f t="shared" ca="1" si="35"/>
        <v>0</v>
      </c>
    </row>
    <row r="23" spans="1:26" ht="13.2">
      <c r="A23" s="108"/>
      <c r="D23" s="21"/>
      <c r="E23" s="21"/>
      <c r="F23" s="108"/>
      <c r="G23" s="233"/>
      <c r="H23" s="253" t="s">
        <v>567</v>
      </c>
      <c r="I23" s="254">
        <f t="shared" ref="I23:K23" ca="1" si="36">I13-I18</f>
        <v>532.61580079933628</v>
      </c>
      <c r="J23" s="254">
        <f t="shared" ca="1" si="36"/>
        <v>1154.446521227248</v>
      </c>
      <c r="K23" s="254">
        <f t="shared" ca="1" si="36"/>
        <v>1687.06232202705</v>
      </c>
      <c r="M23" s="20" t="s">
        <v>5</v>
      </c>
      <c r="N23" s="20" t="s">
        <v>371</v>
      </c>
      <c r="O23" s="20" t="s">
        <v>376</v>
      </c>
      <c r="P23" s="46">
        <f t="shared" ref="P23:Q23" ca="1" si="37">(1-$C$5)*V23</f>
        <v>3.4985708743875059</v>
      </c>
      <c r="Q23" s="46">
        <f t="shared" ca="1" si="37"/>
        <v>0</v>
      </c>
      <c r="R23" s="21">
        <f t="shared" si="3"/>
        <v>0</v>
      </c>
      <c r="S23" s="128">
        <f t="shared" ref="S23:T23" ca="1" si="38">$R23*P23</f>
        <v>0</v>
      </c>
      <c r="T23" s="128">
        <f t="shared" ca="1" si="38"/>
        <v>0</v>
      </c>
      <c r="V23" s="75">
        <f ca="1"/>
        <v>3.4985708743875059</v>
      </c>
      <c r="W23" s="75">
        <f ca="1"/>
        <v>0</v>
      </c>
      <c r="X23" s="21">
        <f ca="1">'res bld calcs'!G14-R23</f>
        <v>14755</v>
      </c>
      <c r="Y23" s="128">
        <f t="shared" ref="Y23:Z23" ca="1" si="39">$X23*V23</f>
        <v>51621.413251587648</v>
      </c>
      <c r="Z23" s="128">
        <f t="shared" ca="1" si="39"/>
        <v>0</v>
      </c>
    </row>
    <row r="24" spans="1:26" ht="13.2">
      <c r="A24" s="108"/>
      <c r="D24" s="21"/>
      <c r="E24" s="21"/>
      <c r="F24" s="108"/>
      <c r="J24" s="45" t="s">
        <v>568</v>
      </c>
      <c r="K24" s="155">
        <f ca="1">(K13-K18)/K13</f>
        <v>7.38571439408812E-4</v>
      </c>
      <c r="M24" s="20" t="s">
        <v>5</v>
      </c>
      <c r="N24" s="20" t="s">
        <v>371</v>
      </c>
      <c r="O24" s="20" t="s">
        <v>377</v>
      </c>
      <c r="P24" s="46">
        <f ca="1">IF($C$6="Yes",((1-$C$4)*W24/$F$4)+V24,(1-$C$4)*V24)</f>
        <v>7.2855972929747628</v>
      </c>
      <c r="Q24" s="46">
        <f ca="1">IF($C$6="Yes",0,(1-$C$4)*W24)</f>
        <v>14.276129639052847</v>
      </c>
      <c r="R24" s="21">
        <f t="shared" si="3"/>
        <v>0</v>
      </c>
      <c r="S24" s="128">
        <f t="shared" ref="S24:T24" ca="1" si="40">$R24*P24</f>
        <v>0</v>
      </c>
      <c r="T24" s="128">
        <f t="shared" ca="1" si="40"/>
        <v>0</v>
      </c>
      <c r="V24" s="75">
        <f ca="1"/>
        <v>14.571194585949526</v>
      </c>
      <c r="W24" s="75">
        <f ca="1"/>
        <v>28.552259278105694</v>
      </c>
      <c r="X24" s="21">
        <f ca="1">'res bld calcs'!G15-R24</f>
        <v>14755</v>
      </c>
      <c r="Y24" s="128">
        <f t="shared" ref="Y24:Z24" ca="1" si="41">$X24*V24</f>
        <v>214997.97611568525</v>
      </c>
      <c r="Z24" s="128">
        <f t="shared" ca="1" si="41"/>
        <v>421288.58564844955</v>
      </c>
    </row>
    <row r="25" spans="1:26" ht="13.2">
      <c r="A25" s="108"/>
      <c r="D25" s="21"/>
      <c r="E25" s="21"/>
      <c r="F25" s="108"/>
      <c r="H25" s="45" t="s">
        <v>569</v>
      </c>
      <c r="I25" s="154"/>
      <c r="M25" s="20" t="s">
        <v>5</v>
      </c>
      <c r="N25" s="20" t="s">
        <v>371</v>
      </c>
      <c r="O25" s="20" t="s">
        <v>378</v>
      </c>
      <c r="P25" s="46">
        <f ca="1">IF($C$7="Yes",((1-$C$5)*W25/$F$4)+V25,(1-$C$5)*V25)</f>
        <v>4.2136146175200286</v>
      </c>
      <c r="Q25" s="46">
        <f ca="1">IF($C$7="Yes",0,(1-$C$5)*W25)</f>
        <v>12.991089332434342</v>
      </c>
      <c r="R25" s="21">
        <f t="shared" si="3"/>
        <v>0</v>
      </c>
      <c r="S25" s="128">
        <f t="shared" ref="S25:T25" ca="1" si="42">$R25*P25</f>
        <v>0</v>
      </c>
      <c r="T25" s="128">
        <f t="shared" ca="1" si="42"/>
        <v>0</v>
      </c>
      <c r="V25" s="75">
        <f ca="1"/>
        <v>4.2136146175200286</v>
      </c>
      <c r="W25" s="75">
        <f ca="1"/>
        <v>12.991089332434342</v>
      </c>
      <c r="X25" s="21">
        <f ca="1">'res bld calcs'!G16-R25</f>
        <v>14755</v>
      </c>
      <c r="Y25" s="128">
        <f t="shared" ref="Y25:Z25" ca="1" si="43">$X25*V25</f>
        <v>62171.883681508021</v>
      </c>
      <c r="Z25" s="128">
        <f t="shared" ca="1" si="43"/>
        <v>191683.52310006871</v>
      </c>
    </row>
    <row r="26" spans="1:26" ht="13.2">
      <c r="A26" s="108"/>
      <c r="D26" s="21"/>
      <c r="E26" s="21"/>
      <c r="F26" s="108"/>
      <c r="H26" s="20" t="str">
        <f ca="1">IFERROR(__xludf.DUMMYFUNCTION("unique(B10:B21)"),"Greene")</f>
        <v>Greene</v>
      </c>
      <c r="I26" s="154">
        <f t="shared" ref="I26:I28" ca="1" si="44">SUMIF($B$10:$B$21,"="&amp;H26,$D$10:$D$21)</f>
        <v>0</v>
      </c>
      <c r="M26" s="20" t="s">
        <v>5</v>
      </c>
      <c r="N26" s="20" t="s">
        <v>373</v>
      </c>
      <c r="O26" s="20" t="s">
        <v>369</v>
      </c>
      <c r="P26" s="46">
        <f t="shared" ref="P26:Q26" ca="1" si="45">(1-$C$5)*V26</f>
        <v>7.358208332526317</v>
      </c>
      <c r="Q26" s="46">
        <f t="shared" ca="1" si="45"/>
        <v>0</v>
      </c>
      <c r="R26" s="21">
        <f t="shared" si="3"/>
        <v>0</v>
      </c>
      <c r="S26" s="128">
        <f t="shared" ref="S26:T26" ca="1" si="46">$R26*P26</f>
        <v>0</v>
      </c>
      <c r="T26" s="128">
        <f t="shared" ca="1" si="46"/>
        <v>0</v>
      </c>
      <c r="V26" s="75">
        <f ca="1"/>
        <v>7.358208332526317</v>
      </c>
      <c r="W26" s="75">
        <f ca="1"/>
        <v>0</v>
      </c>
      <c r="X26" s="21">
        <f ca="1">'res bld calcs'!G17-R26</f>
        <v>3856</v>
      </c>
      <c r="Y26" s="128">
        <f t="shared" ref="Y26:Z26" ca="1" si="47">$X26*V26</f>
        <v>28373.251330221479</v>
      </c>
      <c r="Z26" s="128">
        <f t="shared" ca="1" si="47"/>
        <v>0</v>
      </c>
    </row>
    <row r="27" spans="1:26" ht="13.2">
      <c r="A27" s="108"/>
      <c r="D27" s="21"/>
      <c r="E27" s="21"/>
      <c r="F27" s="108"/>
      <c r="H27" s="20" t="str">
        <f ca="1">IFERROR(__xludf.DUMMYFUNCTION("""COMPUTED_VALUE"""),"Miami")</f>
        <v>Miami</v>
      </c>
      <c r="I27" s="154">
        <f t="shared" ca="1" si="44"/>
        <v>0</v>
      </c>
      <c r="M27" s="20" t="s">
        <v>5</v>
      </c>
      <c r="N27" s="20" t="s">
        <v>373</v>
      </c>
      <c r="O27" s="20" t="s">
        <v>372</v>
      </c>
      <c r="P27" s="46">
        <f t="shared" ref="P27:Q27" ca="1" si="48">(1-$C$5)*V27</f>
        <v>4.7540487622931629</v>
      </c>
      <c r="Q27" s="46">
        <f t="shared" ca="1" si="48"/>
        <v>1.3950210605054358</v>
      </c>
      <c r="R27" s="21">
        <f t="shared" si="3"/>
        <v>0</v>
      </c>
      <c r="S27" s="128">
        <f t="shared" ref="S27:T27" ca="1" si="49">$R27*P27</f>
        <v>0</v>
      </c>
      <c r="T27" s="128">
        <f t="shared" ca="1" si="49"/>
        <v>0</v>
      </c>
      <c r="V27" s="75">
        <f ca="1"/>
        <v>4.7540487622931629</v>
      </c>
      <c r="W27" s="75">
        <f ca="1"/>
        <v>1.3950210605054358</v>
      </c>
      <c r="X27" s="21">
        <f ca="1">'res bld calcs'!G18-R27</f>
        <v>3856</v>
      </c>
      <c r="Y27" s="128">
        <f t="shared" ref="Y27:Z27" ca="1" si="50">$X27*V27</f>
        <v>18331.612027402436</v>
      </c>
      <c r="Z27" s="128">
        <f t="shared" ca="1" si="50"/>
        <v>5379.2012093089606</v>
      </c>
    </row>
    <row r="28" spans="1:26" ht="13.2">
      <c r="A28" s="108"/>
      <c r="D28" s="21"/>
      <c r="E28" s="21"/>
      <c r="F28" s="108"/>
      <c r="H28" s="20" t="str">
        <f ca="1">IFERROR(__xludf.DUMMYFUNCTION("""COMPUTED_VALUE"""),"Montgomery")</f>
        <v>Montgomery</v>
      </c>
      <c r="I28" s="154">
        <f t="shared" ca="1" si="44"/>
        <v>1000</v>
      </c>
      <c r="M28" s="20" t="s">
        <v>5</v>
      </c>
      <c r="N28" s="20" t="s">
        <v>373</v>
      </c>
      <c r="O28" s="20" t="s">
        <v>374</v>
      </c>
      <c r="P28" s="46">
        <f t="shared" ref="P28:Q28" ca="1" si="51">(1-$C$5)*V28</f>
        <v>8.036491096871675</v>
      </c>
      <c r="Q28" s="46">
        <f t="shared" ca="1" si="51"/>
        <v>0</v>
      </c>
      <c r="R28" s="21">
        <f t="shared" si="3"/>
        <v>0</v>
      </c>
      <c r="S28" s="128">
        <f t="shared" ref="S28:T28" ca="1" si="52">$R28*P28</f>
        <v>0</v>
      </c>
      <c r="T28" s="128">
        <f t="shared" ca="1" si="52"/>
        <v>0</v>
      </c>
      <c r="V28" s="75">
        <f ca="1"/>
        <v>8.036491096871675</v>
      </c>
      <c r="W28" s="75">
        <f ca="1"/>
        <v>0</v>
      </c>
      <c r="X28" s="21">
        <f ca="1">'res bld calcs'!G19-R28</f>
        <v>3856</v>
      </c>
      <c r="Y28" s="128">
        <f t="shared" ref="Y28:Z28" ca="1" si="53">$X28*V28</f>
        <v>30988.70966953718</v>
      </c>
      <c r="Z28" s="128">
        <f t="shared" ca="1" si="53"/>
        <v>0</v>
      </c>
    </row>
    <row r="29" spans="1:26" ht="13.2">
      <c r="A29" s="108"/>
      <c r="D29" s="21"/>
      <c r="E29" s="21"/>
      <c r="F29" s="108"/>
      <c r="H29" s="20" t="s">
        <v>32</v>
      </c>
      <c r="I29" s="154">
        <f ca="1">SUM(I26:I28)</f>
        <v>1000</v>
      </c>
      <c r="M29" s="20" t="s">
        <v>5</v>
      </c>
      <c r="N29" s="20" t="s">
        <v>373</v>
      </c>
      <c r="O29" s="20" t="s">
        <v>375</v>
      </c>
      <c r="P29" s="46">
        <f t="shared" ref="P29:Q29" ca="1" si="54">(1-$C$5)*V29</f>
        <v>1.7903008885811684</v>
      </c>
      <c r="Q29" s="46">
        <f t="shared" ca="1" si="54"/>
        <v>0</v>
      </c>
      <c r="R29" s="21">
        <f t="shared" si="3"/>
        <v>0</v>
      </c>
      <c r="S29" s="128">
        <f t="shared" ref="S29:T29" ca="1" si="55">$R29*P29</f>
        <v>0</v>
      </c>
      <c r="T29" s="128">
        <f t="shared" ca="1" si="55"/>
        <v>0</v>
      </c>
      <c r="V29" s="75">
        <f ca="1"/>
        <v>1.7903008885811684</v>
      </c>
      <c r="W29" s="75">
        <f ca="1"/>
        <v>0</v>
      </c>
      <c r="X29" s="21">
        <f ca="1">'res bld calcs'!G20-R29</f>
        <v>3856</v>
      </c>
      <c r="Y29" s="128">
        <f t="shared" ref="Y29:Z29" ca="1" si="56">$X29*V29</f>
        <v>6903.4002263689854</v>
      </c>
      <c r="Z29" s="128">
        <f t="shared" ca="1" si="56"/>
        <v>0</v>
      </c>
    </row>
    <row r="30" spans="1:26" ht="13.2">
      <c r="A30" s="108"/>
      <c r="D30" s="21"/>
      <c r="E30" s="21"/>
      <c r="F30" s="108"/>
      <c r="M30" s="20" t="s">
        <v>5</v>
      </c>
      <c r="N30" s="20" t="s">
        <v>373</v>
      </c>
      <c r="O30" s="20" t="s">
        <v>376</v>
      </c>
      <c r="P30" s="46">
        <f t="shared" ref="P30:Q30" ca="1" si="57">(1-$C$5)*V30</f>
        <v>3.7135739545801472</v>
      </c>
      <c r="Q30" s="46">
        <f t="shared" ca="1" si="57"/>
        <v>0</v>
      </c>
      <c r="R30" s="21">
        <f t="shared" si="3"/>
        <v>0</v>
      </c>
      <c r="S30" s="128">
        <f t="shared" ref="S30:T30" ca="1" si="58">$R30*P30</f>
        <v>0</v>
      </c>
      <c r="T30" s="128">
        <f t="shared" ca="1" si="58"/>
        <v>0</v>
      </c>
      <c r="V30" s="75">
        <f ca="1"/>
        <v>3.7135739545801472</v>
      </c>
      <c r="W30" s="75">
        <f ca="1"/>
        <v>0</v>
      </c>
      <c r="X30" s="21">
        <f ca="1">'res bld calcs'!G21-R30</f>
        <v>3856</v>
      </c>
      <c r="Y30" s="128">
        <f t="shared" ref="Y30:Z30" ca="1" si="59">$X30*V30</f>
        <v>14319.541168861047</v>
      </c>
      <c r="Z30" s="128">
        <f t="shared" ca="1" si="59"/>
        <v>0</v>
      </c>
    </row>
    <row r="31" spans="1:26" ht="13.2">
      <c r="A31" s="108"/>
      <c r="D31" s="21"/>
      <c r="E31" s="21"/>
      <c r="F31" s="108"/>
      <c r="M31" s="20" t="s">
        <v>5</v>
      </c>
      <c r="N31" s="20" t="s">
        <v>373</v>
      </c>
      <c r="O31" s="20" t="s">
        <v>377</v>
      </c>
      <c r="P31" s="46">
        <f ca="1">IF($C$6="Yes",((1-$C$4)*W31/$F$4)+V31,(1-$C$4)*V31)</f>
        <v>6.2581745807700919</v>
      </c>
      <c r="Q31" s="46">
        <f ca="1">IF($C$6="Yes",0,(1-$C$4)*W31)</f>
        <v>14.01810070504313</v>
      </c>
      <c r="R31" s="21">
        <f t="shared" si="3"/>
        <v>0</v>
      </c>
      <c r="S31" s="128">
        <f t="shared" ref="S31:T31" ca="1" si="60">$R31*P31</f>
        <v>0</v>
      </c>
      <c r="T31" s="128">
        <f t="shared" ca="1" si="60"/>
        <v>0</v>
      </c>
      <c r="V31" s="75">
        <f ca="1"/>
        <v>12.516349161540184</v>
      </c>
      <c r="W31" s="75">
        <f ca="1"/>
        <v>28.03620141008626</v>
      </c>
      <c r="X31" s="21">
        <f ca="1">'res bld calcs'!G22-R31</f>
        <v>3856</v>
      </c>
      <c r="Y31" s="128">
        <f t="shared" ref="Y31:Z31" ca="1" si="61">$X31*V31</f>
        <v>48263.042366898946</v>
      </c>
      <c r="Z31" s="128">
        <f t="shared" ca="1" si="61"/>
        <v>108107.59263729262</v>
      </c>
    </row>
    <row r="32" spans="1:26" ht="13.2">
      <c r="A32" s="108"/>
      <c r="D32" s="21"/>
      <c r="E32" s="21"/>
      <c r="F32" s="108"/>
      <c r="I32" s="154"/>
      <c r="M32" s="20" t="s">
        <v>5</v>
      </c>
      <c r="N32" s="20" t="s">
        <v>373</v>
      </c>
      <c r="O32" s="20" t="s">
        <v>378</v>
      </c>
      <c r="P32" s="46">
        <f ca="1">IF($C$7="Yes",((1-$C$5)*W32/$F$4)+V32,(1-$C$5)*V32)</f>
        <v>1.5656128254412518</v>
      </c>
      <c r="Q32" s="46">
        <f ca="1">IF($C$7="Yes",0,(1-$C$5)*W32)</f>
        <v>13.065544451997583</v>
      </c>
      <c r="R32" s="21">
        <f t="shared" si="3"/>
        <v>0</v>
      </c>
      <c r="S32" s="128">
        <f t="shared" ref="S32:T32" ca="1" si="62">$R32*P32</f>
        <v>0</v>
      </c>
      <c r="T32" s="128">
        <f t="shared" ca="1" si="62"/>
        <v>0</v>
      </c>
      <c r="V32" s="75">
        <f ca="1"/>
        <v>1.5656128254412518</v>
      </c>
      <c r="W32" s="75">
        <f ca="1"/>
        <v>13.065544451997583</v>
      </c>
      <c r="X32" s="21">
        <f ca="1">'res bld calcs'!G23-R32</f>
        <v>3856</v>
      </c>
      <c r="Y32" s="128">
        <f t="shared" ref="Y32:Z32" ca="1" si="63">$X32*V32</f>
        <v>6037.0030549014673</v>
      </c>
      <c r="Z32" s="128">
        <f t="shared" ca="1" si="63"/>
        <v>50380.739406902685</v>
      </c>
    </row>
    <row r="33" spans="1:26" ht="13.2">
      <c r="A33" s="108"/>
      <c r="D33" s="21"/>
      <c r="E33" s="21"/>
      <c r="F33" s="108"/>
      <c r="I33" s="154"/>
      <c r="M33" s="20" t="s">
        <v>5</v>
      </c>
      <c r="N33" s="20" t="s">
        <v>370</v>
      </c>
      <c r="O33" s="20" t="s">
        <v>369</v>
      </c>
      <c r="P33" s="46">
        <f t="shared" ref="P33:Q33" ca="1" si="64">(1-$C$5)*V33</f>
        <v>4.1932753810523495</v>
      </c>
      <c r="Q33" s="46">
        <f t="shared" ca="1" si="64"/>
        <v>1.7522139124893987E-2</v>
      </c>
      <c r="R33" s="21">
        <f t="shared" si="3"/>
        <v>0</v>
      </c>
      <c r="S33" s="128">
        <f t="shared" ref="S33:T33" ca="1" si="65">$R33*P33</f>
        <v>0</v>
      </c>
      <c r="T33" s="128">
        <f t="shared" ca="1" si="65"/>
        <v>0</v>
      </c>
      <c r="V33" s="75">
        <f ca="1"/>
        <v>4.1932753810523495</v>
      </c>
      <c r="W33" s="75">
        <f ca="1"/>
        <v>1.7522139124893987E-2</v>
      </c>
      <c r="X33" s="21">
        <f ca="1">'res bld calcs'!G24-R33</f>
        <v>51557</v>
      </c>
      <c r="Y33" s="128">
        <f t="shared" ref="Y33:Z33" ca="1" si="66">$X33*V33</f>
        <v>216192.69882091598</v>
      </c>
      <c r="Z33" s="128">
        <f t="shared" ca="1" si="66"/>
        <v>903.38892686215922</v>
      </c>
    </row>
    <row r="34" spans="1:26" ht="13.2">
      <c r="A34" s="108"/>
      <c r="D34" s="21"/>
      <c r="E34" s="21"/>
      <c r="F34" s="108"/>
      <c r="I34" s="154"/>
      <c r="M34" s="20" t="s">
        <v>5</v>
      </c>
      <c r="N34" s="20" t="s">
        <v>370</v>
      </c>
      <c r="O34" s="20" t="s">
        <v>372</v>
      </c>
      <c r="P34" s="46">
        <f t="shared" ref="P34:Q34" ca="1" si="67">(1-$C$5)*V34</f>
        <v>5.7476607316917425</v>
      </c>
      <c r="Q34" s="46">
        <f t="shared" ca="1" si="67"/>
        <v>0.93886088325684824</v>
      </c>
      <c r="R34" s="21">
        <f t="shared" si="3"/>
        <v>0</v>
      </c>
      <c r="S34" s="128">
        <f t="shared" ref="S34:T34" ca="1" si="68">$R34*P34</f>
        <v>0</v>
      </c>
      <c r="T34" s="128">
        <f t="shared" ca="1" si="68"/>
        <v>0</v>
      </c>
      <c r="V34" s="75">
        <f ca="1"/>
        <v>5.7476607316917425</v>
      </c>
      <c r="W34" s="75">
        <f ca="1"/>
        <v>0.93886088325684824</v>
      </c>
      <c r="X34" s="21">
        <f ca="1">'res bld calcs'!G25-R34</f>
        <v>51557</v>
      </c>
      <c r="Y34" s="128">
        <f t="shared" ref="Y34:Z34" ca="1" si="69">$X34*V34</f>
        <v>296332.14434383117</v>
      </c>
      <c r="Z34" s="128">
        <f t="shared" ca="1" si="69"/>
        <v>48404.850558073325</v>
      </c>
    </row>
    <row r="35" spans="1:26" ht="13.2">
      <c r="A35" s="108"/>
      <c r="C35" s="2"/>
      <c r="D35" s="2"/>
      <c r="E35" s="2"/>
      <c r="F35" s="2"/>
      <c r="G35" s="2"/>
      <c r="H35" s="2"/>
      <c r="I35" s="2"/>
      <c r="J35" s="291" t="s">
        <v>570</v>
      </c>
      <c r="K35" s="285"/>
      <c r="M35" s="20" t="s">
        <v>5</v>
      </c>
      <c r="N35" s="20" t="s">
        <v>370</v>
      </c>
      <c r="O35" s="20" t="s">
        <v>374</v>
      </c>
      <c r="P35" s="46">
        <f t="shared" ref="P35:Q35" ca="1" si="70">(1-$C$5)*V35</f>
        <v>6.7632442867164988</v>
      </c>
      <c r="Q35" s="46">
        <f t="shared" ca="1" si="70"/>
        <v>0</v>
      </c>
      <c r="R35" s="21">
        <f t="shared" si="3"/>
        <v>0</v>
      </c>
      <c r="S35" s="128">
        <f t="shared" ref="S35:T35" ca="1" si="71">$R35*P35</f>
        <v>0</v>
      </c>
      <c r="T35" s="128">
        <f t="shared" ca="1" si="71"/>
        <v>0</v>
      </c>
      <c r="V35" s="75">
        <f ca="1"/>
        <v>6.7632442867164988</v>
      </c>
      <c r="W35" s="75">
        <f ca="1"/>
        <v>0</v>
      </c>
      <c r="X35" s="21">
        <f ca="1">'res bld calcs'!G26-R35</f>
        <v>51557</v>
      </c>
      <c r="Y35" s="128">
        <f t="shared" ref="Y35:Z35" ca="1" si="72">$X35*V35</f>
        <v>348692.58569024253</v>
      </c>
      <c r="Z35" s="128">
        <f t="shared" ca="1" si="72"/>
        <v>0</v>
      </c>
    </row>
    <row r="36" spans="1:26" ht="13.2">
      <c r="B36" s="139">
        <v>2026</v>
      </c>
      <c r="C36" s="139">
        <v>2027</v>
      </c>
      <c r="D36" s="139">
        <v>2028</v>
      </c>
      <c r="E36" s="140">
        <v>2029</v>
      </c>
      <c r="F36" s="139">
        <v>2030</v>
      </c>
      <c r="G36" s="139">
        <v>2050</v>
      </c>
      <c r="H36" s="2"/>
      <c r="I36" s="2" t="s">
        <v>571</v>
      </c>
      <c r="J36" s="156" t="s">
        <v>572</v>
      </c>
      <c r="K36" s="156" t="s">
        <v>573</v>
      </c>
      <c r="M36" s="20" t="s">
        <v>5</v>
      </c>
      <c r="N36" s="20" t="s">
        <v>370</v>
      </c>
      <c r="O36" s="20" t="s">
        <v>375</v>
      </c>
      <c r="P36" s="46">
        <f t="shared" ref="P36:Q36" ca="1" si="73">(1-$C$5)*V36</f>
        <v>2.4634551511213485</v>
      </c>
      <c r="Q36" s="46">
        <f t="shared" ca="1" si="73"/>
        <v>0</v>
      </c>
      <c r="R36" s="21">
        <f t="shared" si="3"/>
        <v>0</v>
      </c>
      <c r="S36" s="128">
        <f t="shared" ref="S36:T36" ca="1" si="74">$R36*P36</f>
        <v>0</v>
      </c>
      <c r="T36" s="128">
        <f t="shared" ca="1" si="74"/>
        <v>0</v>
      </c>
      <c r="V36" s="75">
        <f ca="1"/>
        <v>2.4634551511213485</v>
      </c>
      <c r="W36" s="75">
        <f ca="1"/>
        <v>0</v>
      </c>
      <c r="X36" s="21">
        <f ca="1">'res bld calcs'!G27-R36</f>
        <v>51557</v>
      </c>
      <c r="Y36" s="128">
        <f t="shared" ref="Y36:Z36" ca="1" si="75">$X36*V36</f>
        <v>127008.35722636337</v>
      </c>
      <c r="Z36" s="128">
        <f t="shared" ca="1" si="75"/>
        <v>0</v>
      </c>
    </row>
    <row r="37" spans="1:26" ht="13.2">
      <c r="A37" s="157" t="s">
        <v>567</v>
      </c>
      <c r="B37" s="9">
        <v>0</v>
      </c>
      <c r="C37" s="9">
        <v>171.88636890333146</v>
      </c>
      <c r="D37" s="9">
        <v>427.3221221268177</v>
      </c>
      <c r="E37" s="21">
        <v>858.98840738087893</v>
      </c>
      <c r="F37" s="9">
        <v>1731.8301029424183</v>
      </c>
      <c r="G37" s="9">
        <v>1687.0622856011614</v>
      </c>
      <c r="H37" s="9"/>
      <c r="I37" s="9">
        <f>AVERAGE(F37+(G37-F37)/20,G37)</f>
        <v>1708.3269988382585</v>
      </c>
      <c r="J37" s="9">
        <f>SUM(B37:F37)</f>
        <v>3190.0270013534464</v>
      </c>
      <c r="K37" s="9">
        <f>J37+(I37*20)</f>
        <v>37356.566978118615</v>
      </c>
      <c r="M37" s="20" t="s">
        <v>5</v>
      </c>
      <c r="N37" s="20" t="s">
        <v>370</v>
      </c>
      <c r="O37" s="20" t="s">
        <v>376</v>
      </c>
      <c r="P37" s="46">
        <f t="shared" ref="P37:Q37" ca="1" si="76">(1-$C$5)*V37</f>
        <v>4.3176174023855989</v>
      </c>
      <c r="Q37" s="46">
        <f t="shared" ca="1" si="76"/>
        <v>0</v>
      </c>
      <c r="R37" s="21">
        <f t="shared" si="3"/>
        <v>0</v>
      </c>
      <c r="S37" s="128">
        <f t="shared" ref="S37:T37" ca="1" si="77">$R37*P37</f>
        <v>0</v>
      </c>
      <c r="T37" s="128">
        <f t="shared" ca="1" si="77"/>
        <v>0</v>
      </c>
      <c r="V37" s="75">
        <f ca="1"/>
        <v>4.3176174023855989</v>
      </c>
      <c r="W37" s="75">
        <f ca="1"/>
        <v>0</v>
      </c>
      <c r="X37" s="21">
        <f ca="1">'res bld calcs'!G28-R37</f>
        <v>51557</v>
      </c>
      <c r="Y37" s="128">
        <f t="shared" ref="Y37:Z37" ca="1" si="78">$X37*V37</f>
        <v>222603.40041479433</v>
      </c>
      <c r="Z37" s="128">
        <f t="shared" ca="1" si="78"/>
        <v>0</v>
      </c>
    </row>
    <row r="38" spans="1:26" ht="13.2">
      <c r="A38" s="45" t="s">
        <v>569</v>
      </c>
      <c r="B38" s="20">
        <v>0</v>
      </c>
      <c r="C38" s="21">
        <v>100</v>
      </c>
      <c r="D38" s="21">
        <v>250</v>
      </c>
      <c r="E38" s="21">
        <v>500</v>
      </c>
      <c r="F38" s="21">
        <v>1000</v>
      </c>
      <c r="G38" s="21">
        <v>1000</v>
      </c>
      <c r="M38" s="20" t="s">
        <v>5</v>
      </c>
      <c r="N38" s="20" t="s">
        <v>370</v>
      </c>
      <c r="O38" s="20" t="s">
        <v>377</v>
      </c>
      <c r="P38" s="46">
        <f ca="1">IF($C$6="Yes",((1-$C$4)*W38/$F$4)+V38,(1-$C$4)*V38)</f>
        <v>6.6267407719576612</v>
      </c>
      <c r="Q38" s="46">
        <f ca="1">IF($C$6="Yes",0,(1-$C$4)*W38)</f>
        <v>18.06133594653453</v>
      </c>
      <c r="R38" s="21">
        <f t="shared" si="3"/>
        <v>0</v>
      </c>
      <c r="S38" s="128">
        <f t="shared" ref="S38:T38" ca="1" si="79">$R38*P38</f>
        <v>0</v>
      </c>
      <c r="T38" s="128">
        <f t="shared" ca="1" si="79"/>
        <v>0</v>
      </c>
      <c r="V38" s="75">
        <f ca="1"/>
        <v>13.253481543915322</v>
      </c>
      <c r="W38" s="75">
        <f ca="1"/>
        <v>36.122671893069061</v>
      </c>
      <c r="X38" s="21">
        <f ca="1">'res bld calcs'!G29-R38</f>
        <v>51557</v>
      </c>
      <c r="Y38" s="128">
        <f t="shared" ref="Y38:Z38" ca="1" si="80">$X38*V38</f>
        <v>683309.74795964232</v>
      </c>
      <c r="Z38" s="128">
        <f t="shared" ca="1" si="80"/>
        <v>1862376.5947909616</v>
      </c>
    </row>
    <row r="39" spans="1:26" ht="13.2">
      <c r="A39" s="108"/>
      <c r="D39" s="21"/>
      <c r="E39" s="21"/>
      <c r="F39" s="108"/>
      <c r="M39" s="20" t="s">
        <v>5</v>
      </c>
      <c r="N39" s="20" t="s">
        <v>370</v>
      </c>
      <c r="O39" s="20" t="s">
        <v>378</v>
      </c>
      <c r="P39" s="46">
        <f ca="1">IF($C$7="Yes",((1-$C$5)*W39/$F$4)+V39,(1-$C$5)*V39)</f>
        <v>2.9958505249510519</v>
      </c>
      <c r="Q39" s="46">
        <f ca="1">IF($C$7="Yes",0,(1-$C$5)*W39)</f>
        <v>5.4177120071384772</v>
      </c>
      <c r="R39" s="21">
        <f t="shared" si="3"/>
        <v>0</v>
      </c>
      <c r="S39" s="128">
        <f t="shared" ref="S39:T39" ca="1" si="81">$R39*P39</f>
        <v>0</v>
      </c>
      <c r="T39" s="128">
        <f t="shared" ca="1" si="81"/>
        <v>0</v>
      </c>
      <c r="V39" s="75">
        <f ca="1"/>
        <v>2.9958505249510519</v>
      </c>
      <c r="W39" s="75">
        <f ca="1"/>
        <v>5.4177120071384772</v>
      </c>
      <c r="X39" s="21">
        <f ca="1">'res bld calcs'!G30-R39</f>
        <v>51557</v>
      </c>
      <c r="Y39" s="128">
        <f t="shared" ref="Y39:Z39" ca="1" si="82">$X39*V39</f>
        <v>154457.06551490139</v>
      </c>
      <c r="Z39" s="128">
        <f t="shared" ca="1" si="82"/>
        <v>279320.97795203846</v>
      </c>
    </row>
    <row r="40" spans="1:26" ht="13.2">
      <c r="A40" s="108"/>
      <c r="D40" s="21"/>
      <c r="E40" s="21"/>
      <c r="F40" s="108"/>
      <c r="M40" s="20" t="s">
        <v>9</v>
      </c>
      <c r="N40" s="20" t="s">
        <v>366</v>
      </c>
      <c r="O40" s="20" t="s">
        <v>369</v>
      </c>
      <c r="P40" s="46">
        <f t="shared" ref="P40:Q40" ca="1" si="83">(1-$C$5)*V40</f>
        <v>1.2562172913022078</v>
      </c>
      <c r="Q40" s="46">
        <f t="shared" ca="1" si="83"/>
        <v>0</v>
      </c>
      <c r="R40" s="21">
        <f t="shared" si="3"/>
        <v>0</v>
      </c>
      <c r="S40" s="128">
        <f t="shared" ref="S40:T40" ca="1" si="84">$R40*P40</f>
        <v>0</v>
      </c>
      <c r="T40" s="128">
        <f t="shared" ca="1" si="84"/>
        <v>0</v>
      </c>
      <c r="V40" s="75">
        <f ca="1"/>
        <v>1.2562172913022078</v>
      </c>
      <c r="W40" s="75">
        <f ca="1"/>
        <v>0</v>
      </c>
      <c r="X40" s="21">
        <f ca="1">'res bld calcs'!G31-R40</f>
        <v>793</v>
      </c>
      <c r="Y40" s="128">
        <f t="shared" ref="Y40:Z40" ca="1" si="85">$X40*V40</f>
        <v>996.18031200265079</v>
      </c>
      <c r="Z40" s="128">
        <f t="shared" ca="1" si="85"/>
        <v>0</v>
      </c>
    </row>
    <row r="41" spans="1:26" ht="13.2">
      <c r="A41" s="108"/>
      <c r="D41" s="21"/>
      <c r="E41" s="21"/>
      <c r="F41" s="108"/>
      <c r="M41" s="20" t="s">
        <v>9</v>
      </c>
      <c r="N41" s="20" t="s">
        <v>366</v>
      </c>
      <c r="O41" s="20" t="s">
        <v>372</v>
      </c>
      <c r="P41" s="46">
        <f t="shared" ref="P41:Q41" ca="1" si="86">(1-$C$5)*V41</f>
        <v>4.2721365955280097</v>
      </c>
      <c r="Q41" s="46">
        <f t="shared" ca="1" si="86"/>
        <v>0.49034253395724603</v>
      </c>
      <c r="R41" s="21">
        <f t="shared" si="3"/>
        <v>0</v>
      </c>
      <c r="S41" s="128">
        <f t="shared" ref="S41:T41" ca="1" si="87">$R41*P41</f>
        <v>0</v>
      </c>
      <c r="T41" s="128">
        <f t="shared" ca="1" si="87"/>
        <v>0</v>
      </c>
      <c r="V41" s="75">
        <f ca="1"/>
        <v>4.2721365955280097</v>
      </c>
      <c r="W41" s="75">
        <f ca="1"/>
        <v>0.49034253395724603</v>
      </c>
      <c r="X41" s="21">
        <f ca="1">'res bld calcs'!G32-R41</f>
        <v>793</v>
      </c>
      <c r="Y41" s="128">
        <f t="shared" ref="Y41:Z41" ca="1" si="88">$X41*V41</f>
        <v>3387.8043202537119</v>
      </c>
      <c r="Z41" s="128">
        <f t="shared" ca="1" si="88"/>
        <v>388.8416294280961</v>
      </c>
    </row>
    <row r="42" spans="1:26" ht="13.2">
      <c r="M42" s="20" t="s">
        <v>9</v>
      </c>
      <c r="N42" s="20" t="s">
        <v>366</v>
      </c>
      <c r="O42" s="20" t="s">
        <v>374</v>
      </c>
      <c r="P42" s="46">
        <f t="shared" ref="P42:Q42" ca="1" si="89">(1-$C$5)*V42</f>
        <v>4.2859173166227835</v>
      </c>
      <c r="Q42" s="46">
        <f t="shared" ca="1" si="89"/>
        <v>0</v>
      </c>
      <c r="R42" s="21">
        <f t="shared" si="3"/>
        <v>0</v>
      </c>
      <c r="S42" s="128">
        <f t="shared" ref="S42:T42" ca="1" si="90">$R42*P42</f>
        <v>0</v>
      </c>
      <c r="T42" s="128">
        <f t="shared" ca="1" si="90"/>
        <v>0</v>
      </c>
      <c r="V42" s="75">
        <f ca="1"/>
        <v>4.2859173166227835</v>
      </c>
      <c r="W42" s="75">
        <f ca="1"/>
        <v>0</v>
      </c>
      <c r="X42" s="21">
        <f ca="1">'res bld calcs'!G33-R42</f>
        <v>793</v>
      </c>
      <c r="Y42" s="128">
        <f t="shared" ref="Y42:Z42" ca="1" si="91">$X42*V42</f>
        <v>3398.7324320818675</v>
      </c>
      <c r="Z42" s="128">
        <f t="shared" ca="1" si="91"/>
        <v>0</v>
      </c>
    </row>
    <row r="43" spans="1:26" ht="13.2">
      <c r="M43" s="20" t="s">
        <v>9</v>
      </c>
      <c r="N43" s="20" t="s">
        <v>366</v>
      </c>
      <c r="O43" s="20" t="s">
        <v>375</v>
      </c>
      <c r="P43" s="46">
        <f t="shared" ref="P43:Q43" ca="1" si="92">(1-$C$5)*V43</f>
        <v>1.6407396498923468</v>
      </c>
      <c r="Q43" s="46">
        <f t="shared" ca="1" si="92"/>
        <v>0</v>
      </c>
      <c r="R43" s="21">
        <f t="shared" si="3"/>
        <v>0</v>
      </c>
      <c r="S43" s="128">
        <f t="shared" ref="S43:T43" ca="1" si="93">$R43*P43</f>
        <v>0</v>
      </c>
      <c r="T43" s="128">
        <f t="shared" ca="1" si="93"/>
        <v>0</v>
      </c>
      <c r="V43" s="75">
        <f ca="1"/>
        <v>1.6407396498923468</v>
      </c>
      <c r="W43" s="75">
        <f ca="1"/>
        <v>0</v>
      </c>
      <c r="X43" s="21">
        <f ca="1">'res bld calcs'!G34-R43</f>
        <v>793</v>
      </c>
      <c r="Y43" s="128">
        <f t="shared" ref="Y43:Z43" ca="1" si="94">$X43*V43</f>
        <v>1301.106542364631</v>
      </c>
      <c r="Z43" s="128">
        <f t="shared" ca="1" si="94"/>
        <v>0</v>
      </c>
    </row>
    <row r="44" spans="1:26" ht="13.2">
      <c r="M44" s="20" t="s">
        <v>9</v>
      </c>
      <c r="N44" s="20" t="s">
        <v>366</v>
      </c>
      <c r="O44" s="20" t="s">
        <v>376</v>
      </c>
      <c r="P44" s="46">
        <f t="shared" ref="P44:Q44" ca="1" si="95">(1-$C$5)*V44</f>
        <v>4.01207539637225</v>
      </c>
      <c r="Q44" s="46">
        <f t="shared" ca="1" si="95"/>
        <v>0</v>
      </c>
      <c r="R44" s="21">
        <f t="shared" si="3"/>
        <v>0</v>
      </c>
      <c r="S44" s="128">
        <f t="shared" ref="S44:T44" ca="1" si="96">$R44*P44</f>
        <v>0</v>
      </c>
      <c r="T44" s="128">
        <f t="shared" ca="1" si="96"/>
        <v>0</v>
      </c>
      <c r="V44" s="75">
        <f ca="1"/>
        <v>4.01207539637225</v>
      </c>
      <c r="W44" s="75">
        <f ca="1"/>
        <v>0</v>
      </c>
      <c r="X44" s="21">
        <f ca="1">'res bld calcs'!G35-R44</f>
        <v>793</v>
      </c>
      <c r="Y44" s="128">
        <f t="shared" ref="Y44:Z44" ca="1" si="97">$X44*V44</f>
        <v>3181.5757893231944</v>
      </c>
      <c r="Z44" s="128">
        <f t="shared" ca="1" si="97"/>
        <v>0</v>
      </c>
    </row>
    <row r="45" spans="1:26" ht="13.2">
      <c r="M45" s="20" t="s">
        <v>9</v>
      </c>
      <c r="N45" s="20" t="s">
        <v>366</v>
      </c>
      <c r="O45" s="20" t="s">
        <v>377</v>
      </c>
      <c r="P45" s="46">
        <f ca="1">IF($C$6="Yes",((1-$C$4)*W45/$F$4)+V45,(1-$C$4)*V45)</f>
        <v>11.321296800969177</v>
      </c>
      <c r="Q45" s="46">
        <f ca="1">IF($C$6="Yes",0,(1-$C$4)*W45)</f>
        <v>17.33356995853887</v>
      </c>
      <c r="R45" s="21">
        <f t="shared" si="3"/>
        <v>0</v>
      </c>
      <c r="S45" s="128">
        <f t="shared" ref="S45:T45" ca="1" si="98">$R45*P45</f>
        <v>0</v>
      </c>
      <c r="T45" s="128">
        <f t="shared" ca="1" si="98"/>
        <v>0</v>
      </c>
      <c r="V45" s="75">
        <f ca="1"/>
        <v>22.642593601938355</v>
      </c>
      <c r="W45" s="75">
        <f ca="1"/>
        <v>34.667139917077741</v>
      </c>
      <c r="X45" s="21">
        <f ca="1">'res bld calcs'!G36-R45</f>
        <v>793</v>
      </c>
      <c r="Y45" s="128">
        <f t="shared" ref="Y45:Z45" ca="1" si="99">$X45*V45</f>
        <v>17955.576726337116</v>
      </c>
      <c r="Z45" s="128">
        <f t="shared" ca="1" si="99"/>
        <v>27491.04195424265</v>
      </c>
    </row>
    <row r="46" spans="1:26" ht="13.2">
      <c r="M46" s="20" t="s">
        <v>9</v>
      </c>
      <c r="N46" s="20" t="s">
        <v>366</v>
      </c>
      <c r="O46" s="20" t="s">
        <v>378</v>
      </c>
      <c r="P46" s="46">
        <f ca="1">IF($C$7="Yes",((1-$C$5)*W46/$F$4)+V46,(1-$C$5)*V46)</f>
        <v>1.13442278711678</v>
      </c>
      <c r="Q46" s="46">
        <f ca="1">IF($C$7="Yes",0,(1-$C$5)*W46)</f>
        <v>4.064082717745924</v>
      </c>
      <c r="R46" s="21">
        <f t="shared" si="3"/>
        <v>0</v>
      </c>
      <c r="S46" s="128">
        <f t="shared" ref="S46:T46" ca="1" si="100">$R46*P46</f>
        <v>0</v>
      </c>
      <c r="T46" s="128">
        <f t="shared" ca="1" si="100"/>
        <v>0</v>
      </c>
      <c r="V46" s="75">
        <f ca="1"/>
        <v>1.13442278711678</v>
      </c>
      <c r="W46" s="75">
        <f ca="1"/>
        <v>4.064082717745924</v>
      </c>
      <c r="X46" s="21">
        <f ca="1">'res bld calcs'!G37-R46</f>
        <v>793</v>
      </c>
      <c r="Y46" s="128">
        <f t="shared" ref="Y46:Z46" ca="1" si="101">$X46*V46</f>
        <v>899.59727018360661</v>
      </c>
      <c r="Z46" s="128">
        <f t="shared" ca="1" si="101"/>
        <v>3222.8175951725179</v>
      </c>
    </row>
    <row r="47" spans="1:26" ht="13.2">
      <c r="M47" s="20" t="s">
        <v>9</v>
      </c>
      <c r="N47" s="20" t="s">
        <v>371</v>
      </c>
      <c r="O47" s="20" t="s">
        <v>369</v>
      </c>
      <c r="P47" s="46">
        <f t="shared" ref="P47:Q47" ca="1" si="102">(1-$C$5)*V47</f>
        <v>2.2055779446775898</v>
      </c>
      <c r="Q47" s="46">
        <f t="shared" ca="1" si="102"/>
        <v>0</v>
      </c>
      <c r="R47" s="21">
        <f t="shared" si="3"/>
        <v>0</v>
      </c>
      <c r="S47" s="128">
        <f t="shared" ref="S47:T47" ca="1" si="103">$R47*P47</f>
        <v>0</v>
      </c>
      <c r="T47" s="128">
        <f t="shared" ca="1" si="103"/>
        <v>0</v>
      </c>
      <c r="V47" s="75">
        <f ca="1"/>
        <v>2.2055779446775898</v>
      </c>
      <c r="W47" s="75">
        <f ca="1"/>
        <v>0</v>
      </c>
      <c r="X47" s="21">
        <f ca="1">'res bld calcs'!G38-R47</f>
        <v>7051</v>
      </c>
      <c r="Y47" s="128">
        <f t="shared" ref="Y47:Z47" ca="1" si="104">$X47*V47</f>
        <v>15551.530087921687</v>
      </c>
      <c r="Z47" s="128">
        <f t="shared" ca="1" si="104"/>
        <v>0</v>
      </c>
    </row>
    <row r="48" spans="1:26" ht="13.2">
      <c r="M48" s="20" t="s">
        <v>9</v>
      </c>
      <c r="N48" s="20" t="s">
        <v>371</v>
      </c>
      <c r="O48" s="20" t="s">
        <v>372</v>
      </c>
      <c r="P48" s="46">
        <f t="shared" ref="P48:Q48" ca="1" si="105">(1-$C$5)*V48</f>
        <v>3.7612928264543175</v>
      </c>
      <c r="Q48" s="46">
        <f t="shared" ca="1" si="105"/>
        <v>0.77237742552579092</v>
      </c>
      <c r="R48" s="21">
        <f t="shared" si="3"/>
        <v>0</v>
      </c>
      <c r="S48" s="128">
        <f t="shared" ref="S48:T48" ca="1" si="106">$R48*P48</f>
        <v>0</v>
      </c>
      <c r="T48" s="128">
        <f t="shared" ca="1" si="106"/>
        <v>0</v>
      </c>
      <c r="V48" s="75">
        <f ca="1"/>
        <v>3.7612928264543175</v>
      </c>
      <c r="W48" s="75">
        <f ca="1"/>
        <v>0.77237742552579092</v>
      </c>
      <c r="X48" s="21">
        <f ca="1">'res bld calcs'!G39-R48</f>
        <v>7051</v>
      </c>
      <c r="Y48" s="128">
        <f t="shared" ref="Y48:Z48" ca="1" si="107">$X48*V48</f>
        <v>26520.875719329393</v>
      </c>
      <c r="Z48" s="128">
        <f t="shared" ca="1" si="107"/>
        <v>5446.0332273823515</v>
      </c>
    </row>
    <row r="49" spans="13:26" ht="13.2">
      <c r="M49" s="20" t="s">
        <v>9</v>
      </c>
      <c r="N49" s="20" t="s">
        <v>371</v>
      </c>
      <c r="O49" s="20" t="s">
        <v>374</v>
      </c>
      <c r="P49" s="46">
        <f t="shared" ref="P49:Q49" ca="1" si="108">(1-$C$5)*V49</f>
        <v>5.1808536346989182</v>
      </c>
      <c r="Q49" s="46">
        <f t="shared" ca="1" si="108"/>
        <v>0</v>
      </c>
      <c r="R49" s="21">
        <f t="shared" si="3"/>
        <v>0</v>
      </c>
      <c r="S49" s="128">
        <f t="shared" ref="S49:T49" ca="1" si="109">$R49*P49</f>
        <v>0</v>
      </c>
      <c r="T49" s="128">
        <f t="shared" ca="1" si="109"/>
        <v>0</v>
      </c>
      <c r="V49" s="75">
        <f ca="1"/>
        <v>5.1808536346989182</v>
      </c>
      <c r="W49" s="75">
        <f ca="1"/>
        <v>0</v>
      </c>
      <c r="X49" s="21">
        <f ca="1">'res bld calcs'!G40-R49</f>
        <v>7051</v>
      </c>
      <c r="Y49" s="128">
        <f t="shared" ref="Y49:Z49" ca="1" si="110">$X49*V49</f>
        <v>36530.198978262073</v>
      </c>
      <c r="Z49" s="128">
        <f t="shared" ca="1" si="110"/>
        <v>0</v>
      </c>
    </row>
    <row r="50" spans="13:26" ht="13.2">
      <c r="M50" s="20" t="s">
        <v>9</v>
      </c>
      <c r="N50" s="20" t="s">
        <v>371</v>
      </c>
      <c r="O50" s="20" t="s">
        <v>375</v>
      </c>
      <c r="P50" s="46">
        <f t="shared" ref="P50:Q50" ca="1" si="111">(1-$C$5)*V50</f>
        <v>1.380567509160465</v>
      </c>
      <c r="Q50" s="46">
        <f t="shared" ca="1" si="111"/>
        <v>0</v>
      </c>
      <c r="R50" s="21">
        <f t="shared" si="3"/>
        <v>0</v>
      </c>
      <c r="S50" s="128">
        <f t="shared" ref="S50:T50" ca="1" si="112">$R50*P50</f>
        <v>0</v>
      </c>
      <c r="T50" s="128">
        <f t="shared" ca="1" si="112"/>
        <v>0</v>
      </c>
      <c r="V50" s="75">
        <f ca="1"/>
        <v>1.380567509160465</v>
      </c>
      <c r="W50" s="75">
        <f ca="1"/>
        <v>0</v>
      </c>
      <c r="X50" s="21">
        <f ca="1">'res bld calcs'!G41-R50</f>
        <v>7051</v>
      </c>
      <c r="Y50" s="128">
        <f t="shared" ref="Y50:Z50" ca="1" si="113">$X50*V50</f>
        <v>9734.3815070904384</v>
      </c>
      <c r="Z50" s="128">
        <f t="shared" ca="1" si="113"/>
        <v>0</v>
      </c>
    </row>
    <row r="51" spans="13:26" ht="13.2">
      <c r="M51" s="20" t="s">
        <v>9</v>
      </c>
      <c r="N51" s="20" t="s">
        <v>371</v>
      </c>
      <c r="O51" s="20" t="s">
        <v>376</v>
      </c>
      <c r="P51" s="46">
        <f t="shared" ref="P51:Q51" ca="1" si="114">(1-$C$5)*V51</f>
        <v>3.5714676893688013</v>
      </c>
      <c r="Q51" s="46">
        <f t="shared" ca="1" si="114"/>
        <v>0</v>
      </c>
      <c r="R51" s="21">
        <f t="shared" si="3"/>
        <v>0</v>
      </c>
      <c r="S51" s="128">
        <f t="shared" ref="S51:T51" ca="1" si="115">$R51*P51</f>
        <v>0</v>
      </c>
      <c r="T51" s="128">
        <f t="shared" ca="1" si="115"/>
        <v>0</v>
      </c>
      <c r="V51" s="75">
        <f ca="1"/>
        <v>3.5714676893688013</v>
      </c>
      <c r="W51" s="75">
        <f ca="1"/>
        <v>0</v>
      </c>
      <c r="X51" s="21">
        <f ca="1">'res bld calcs'!G42-R51</f>
        <v>7051</v>
      </c>
      <c r="Y51" s="128">
        <f t="shared" ref="Y51:Z51" ca="1" si="116">$X51*V51</f>
        <v>25182.418677739417</v>
      </c>
      <c r="Z51" s="128">
        <f t="shared" ca="1" si="116"/>
        <v>0</v>
      </c>
    </row>
    <row r="52" spans="13:26" ht="13.2">
      <c r="M52" s="20" t="s">
        <v>9</v>
      </c>
      <c r="N52" s="20" t="s">
        <v>371</v>
      </c>
      <c r="O52" s="20" t="s">
        <v>377</v>
      </c>
      <c r="P52" s="46">
        <f ca="1">IF($C$6="Yes",((1-$C$4)*W52/$F$4)+V52,(1-$C$4)*V52)</f>
        <v>9.6277506067160274</v>
      </c>
      <c r="Q52" s="46">
        <f ca="1">IF($C$6="Yes",0,(1-$C$4)*W52)</f>
        <v>14.222264217390764</v>
      </c>
      <c r="R52" s="21">
        <f t="shared" si="3"/>
        <v>0</v>
      </c>
      <c r="S52" s="128">
        <f t="shared" ref="S52:T52" ca="1" si="117">$R52*P52</f>
        <v>0</v>
      </c>
      <c r="T52" s="128">
        <f t="shared" ca="1" si="117"/>
        <v>0</v>
      </c>
      <c r="V52" s="75">
        <f ca="1"/>
        <v>19.255501213432055</v>
      </c>
      <c r="W52" s="75">
        <f ca="1"/>
        <v>28.444528434781528</v>
      </c>
      <c r="X52" s="21">
        <f ca="1">'res bld calcs'!G43-R52</f>
        <v>7051</v>
      </c>
      <c r="Y52" s="128">
        <f t="shared" ref="Y52:Z52" ca="1" si="118">$X52*V52</f>
        <v>135770.53905590941</v>
      </c>
      <c r="Z52" s="128">
        <f t="shared" ca="1" si="118"/>
        <v>200562.36999364456</v>
      </c>
    </row>
    <row r="53" spans="13:26" ht="13.2">
      <c r="M53" s="20" t="s">
        <v>9</v>
      </c>
      <c r="N53" s="20" t="s">
        <v>371</v>
      </c>
      <c r="O53" s="20" t="s">
        <v>378</v>
      </c>
      <c r="P53" s="46">
        <f ca="1">IF($C$7="Yes",((1-$C$5)*W53/$F$4)+V53,(1-$C$5)*V53)</f>
        <v>3.8888418209805846</v>
      </c>
      <c r="Q53" s="46">
        <f ca="1">IF($C$7="Yes",0,(1-$C$5)*W53)</f>
        <v>10.004659308473592</v>
      </c>
      <c r="R53" s="21">
        <f t="shared" si="3"/>
        <v>0</v>
      </c>
      <c r="S53" s="128">
        <f t="shared" ref="S53:T53" ca="1" si="119">$R53*P53</f>
        <v>0</v>
      </c>
      <c r="T53" s="128">
        <f t="shared" ca="1" si="119"/>
        <v>0</v>
      </c>
      <c r="V53" s="75">
        <f ca="1"/>
        <v>3.8888418209805846</v>
      </c>
      <c r="W53" s="75">
        <f ca="1"/>
        <v>10.004659308473592</v>
      </c>
      <c r="X53" s="21">
        <f ca="1">'res bld calcs'!G44-R53</f>
        <v>7051</v>
      </c>
      <c r="Y53" s="128">
        <f t="shared" ref="Y53:Z53" ca="1" si="120">$X53*V53</f>
        <v>27420.223679734103</v>
      </c>
      <c r="Z53" s="128">
        <f t="shared" ca="1" si="120"/>
        <v>70542.852784047296</v>
      </c>
    </row>
    <row r="54" spans="13:26" ht="13.2">
      <c r="M54" s="20" t="s">
        <v>9</v>
      </c>
      <c r="N54" s="20" t="s">
        <v>373</v>
      </c>
      <c r="O54" s="20" t="s">
        <v>369</v>
      </c>
      <c r="P54" s="46">
        <f t="shared" ref="P54:Q54" ca="1" si="121">(1-$C$5)*V54</f>
        <v>5.5422466823008323</v>
      </c>
      <c r="Q54" s="46">
        <f t="shared" ca="1" si="121"/>
        <v>0</v>
      </c>
      <c r="R54" s="21">
        <f t="shared" si="3"/>
        <v>0</v>
      </c>
      <c r="S54" s="128">
        <f t="shared" ref="S54:T54" ca="1" si="122">$R54*P54</f>
        <v>0</v>
      </c>
      <c r="T54" s="128">
        <f t="shared" ca="1" si="122"/>
        <v>0</v>
      </c>
      <c r="V54" s="75">
        <f ca="1"/>
        <v>5.5422466823008323</v>
      </c>
      <c r="W54" s="75">
        <f ca="1"/>
        <v>0</v>
      </c>
      <c r="X54" s="21">
        <f ca="1">'res bld calcs'!G45-R54</f>
        <v>1763</v>
      </c>
      <c r="Y54" s="128">
        <f t="shared" ref="Y54:Z54" ca="1" si="123">$X54*V54</f>
        <v>9770.9809008963675</v>
      </c>
      <c r="Z54" s="128">
        <f t="shared" ca="1" si="123"/>
        <v>0</v>
      </c>
    </row>
    <row r="55" spans="13:26" ht="13.2">
      <c r="M55" s="20" t="s">
        <v>9</v>
      </c>
      <c r="N55" s="20" t="s">
        <v>373</v>
      </c>
      <c r="O55" s="20" t="s">
        <v>372</v>
      </c>
      <c r="P55" s="46">
        <f t="shared" ref="P55:Q55" ca="1" si="124">(1-$C$5)*V55</f>
        <v>6.5934000172430185</v>
      </c>
      <c r="Q55" s="46">
        <f t="shared" ca="1" si="124"/>
        <v>0.67049298070882069</v>
      </c>
      <c r="R55" s="21">
        <f t="shared" si="3"/>
        <v>0</v>
      </c>
      <c r="S55" s="128">
        <f t="shared" ref="S55:T55" ca="1" si="125">$R55*P55</f>
        <v>0</v>
      </c>
      <c r="T55" s="128">
        <f t="shared" ca="1" si="125"/>
        <v>0</v>
      </c>
      <c r="V55" s="75">
        <f ca="1"/>
        <v>6.5934000172430185</v>
      </c>
      <c r="W55" s="75">
        <f ca="1"/>
        <v>0.67049298070882069</v>
      </c>
      <c r="X55" s="21">
        <f ca="1">'res bld calcs'!G46-R55</f>
        <v>1763</v>
      </c>
      <c r="Y55" s="128">
        <f t="shared" ref="Y55:Z55" ca="1" si="126">$X55*V55</f>
        <v>11624.164230399441</v>
      </c>
      <c r="Z55" s="128">
        <f t="shared" ca="1" si="126"/>
        <v>1182.0791249896508</v>
      </c>
    </row>
    <row r="56" spans="13:26" ht="13.2">
      <c r="M56" s="20" t="s">
        <v>9</v>
      </c>
      <c r="N56" s="20" t="s">
        <v>373</v>
      </c>
      <c r="O56" s="20" t="s">
        <v>374</v>
      </c>
      <c r="P56" s="46">
        <f t="shared" ref="P56:Q56" ca="1" si="127">(1-$C$5)*V56</f>
        <v>10.774129485503751</v>
      </c>
      <c r="Q56" s="46">
        <f t="shared" ca="1" si="127"/>
        <v>0</v>
      </c>
      <c r="R56" s="21">
        <f t="shared" si="3"/>
        <v>0</v>
      </c>
      <c r="S56" s="128">
        <f t="shared" ref="S56:T56" ca="1" si="128">$R56*P56</f>
        <v>0</v>
      </c>
      <c r="T56" s="128">
        <f t="shared" ca="1" si="128"/>
        <v>0</v>
      </c>
      <c r="V56" s="75">
        <f ca="1"/>
        <v>10.774129485503751</v>
      </c>
      <c r="W56" s="75">
        <f ca="1"/>
        <v>0</v>
      </c>
      <c r="X56" s="21">
        <f ca="1">'res bld calcs'!G47-R56</f>
        <v>1763</v>
      </c>
      <c r="Y56" s="128">
        <f t="shared" ref="Y56:Z56" ca="1" si="129">$X56*V56</f>
        <v>18994.790282943115</v>
      </c>
      <c r="Z56" s="128">
        <f t="shared" ca="1" si="129"/>
        <v>0</v>
      </c>
    </row>
    <row r="57" spans="13:26" ht="13.2">
      <c r="M57" s="20" t="s">
        <v>9</v>
      </c>
      <c r="N57" s="20" t="s">
        <v>373</v>
      </c>
      <c r="O57" s="20" t="s">
        <v>375</v>
      </c>
      <c r="P57" s="46">
        <f t="shared" ref="P57:Q57" ca="1" si="130">(1-$C$5)*V57</f>
        <v>2.5899803198814308</v>
      </c>
      <c r="Q57" s="46">
        <f t="shared" ca="1" si="130"/>
        <v>0</v>
      </c>
      <c r="R57" s="21">
        <f t="shared" si="3"/>
        <v>0</v>
      </c>
      <c r="S57" s="128">
        <f t="shared" ref="S57:T57" ca="1" si="131">$R57*P57</f>
        <v>0</v>
      </c>
      <c r="T57" s="128">
        <f t="shared" ca="1" si="131"/>
        <v>0</v>
      </c>
      <c r="V57" s="75">
        <f ca="1"/>
        <v>2.5899803198814308</v>
      </c>
      <c r="W57" s="75">
        <f ca="1"/>
        <v>0</v>
      </c>
      <c r="X57" s="21">
        <f ca="1">'res bld calcs'!G48-R57</f>
        <v>1763</v>
      </c>
      <c r="Y57" s="128">
        <f t="shared" ref="Y57:Z57" ca="1" si="132">$X57*V57</f>
        <v>4566.1353039509622</v>
      </c>
      <c r="Z57" s="128">
        <f t="shared" ca="1" si="132"/>
        <v>0</v>
      </c>
    </row>
    <row r="58" spans="13:26" ht="13.2">
      <c r="M58" s="20" t="s">
        <v>9</v>
      </c>
      <c r="N58" s="20" t="s">
        <v>373</v>
      </c>
      <c r="O58" s="20" t="s">
        <v>376</v>
      </c>
      <c r="P58" s="46">
        <f t="shared" ref="P58:Q58" ca="1" si="133">(1-$C$5)*V58</f>
        <v>5.2891703523037137</v>
      </c>
      <c r="Q58" s="46">
        <f t="shared" ca="1" si="133"/>
        <v>0</v>
      </c>
      <c r="R58" s="21">
        <f t="shared" si="3"/>
        <v>0</v>
      </c>
      <c r="S58" s="128">
        <f t="shared" ref="S58:T58" ca="1" si="134">$R58*P58</f>
        <v>0</v>
      </c>
      <c r="T58" s="128">
        <f t="shared" ca="1" si="134"/>
        <v>0</v>
      </c>
      <c r="V58" s="75">
        <f ca="1"/>
        <v>5.2891703523037137</v>
      </c>
      <c r="W58" s="75">
        <f ca="1"/>
        <v>0</v>
      </c>
      <c r="X58" s="21">
        <f ca="1">'res bld calcs'!G49-R58</f>
        <v>1763</v>
      </c>
      <c r="Y58" s="128">
        <f t="shared" ref="Y58:Z58" ca="1" si="135">$X58*V58</f>
        <v>9324.8073311114476</v>
      </c>
      <c r="Z58" s="128">
        <f t="shared" ca="1" si="135"/>
        <v>0</v>
      </c>
    </row>
    <row r="59" spans="13:26" ht="13.2">
      <c r="M59" s="20" t="s">
        <v>9</v>
      </c>
      <c r="N59" s="20" t="s">
        <v>373</v>
      </c>
      <c r="O59" s="20" t="s">
        <v>377</v>
      </c>
      <c r="P59" s="46">
        <f ca="1">IF($C$6="Yes",((1-$C$4)*W59/$F$4)+V59,(1-$C$4)*V59)</f>
        <v>3.6475122869607275</v>
      </c>
      <c r="Q59" s="46">
        <f ca="1">IF($C$6="Yes",0,(1-$C$4)*W59)</f>
        <v>15.426964750932861</v>
      </c>
      <c r="R59" s="21">
        <f t="shared" si="3"/>
        <v>0</v>
      </c>
      <c r="S59" s="128">
        <f t="shared" ref="S59:T59" ca="1" si="136">$R59*P59</f>
        <v>0</v>
      </c>
      <c r="T59" s="128">
        <f t="shared" ca="1" si="136"/>
        <v>0</v>
      </c>
      <c r="V59" s="75">
        <f ca="1"/>
        <v>7.295024573921455</v>
      </c>
      <c r="W59" s="75">
        <f ca="1"/>
        <v>30.853929501865721</v>
      </c>
      <c r="X59" s="21">
        <f ca="1">'res bld calcs'!G50-R59</f>
        <v>1763</v>
      </c>
      <c r="Y59" s="128">
        <f t="shared" ref="Y59:Z59" ca="1" si="137">$X59*V59</f>
        <v>12861.128323823525</v>
      </c>
      <c r="Z59" s="128">
        <f t="shared" ca="1" si="137"/>
        <v>54395.477711789266</v>
      </c>
    </row>
    <row r="60" spans="13:26" ht="13.2">
      <c r="M60" s="20" t="s">
        <v>9</v>
      </c>
      <c r="N60" s="20" t="s">
        <v>373</v>
      </c>
      <c r="O60" s="20" t="s">
        <v>378</v>
      </c>
      <c r="P60" s="46">
        <f ca="1">IF($C$7="Yes",((1-$C$5)*W60/$F$4)+V60,(1-$C$5)*V60)</f>
        <v>1.1601512076185401</v>
      </c>
      <c r="Q60" s="46">
        <f ca="1">IF($C$7="Yes",0,(1-$C$5)*W60)</f>
        <v>7.6971426862063677</v>
      </c>
      <c r="R60" s="21">
        <f t="shared" si="3"/>
        <v>0</v>
      </c>
      <c r="S60" s="128">
        <f t="shared" ref="S60:T60" ca="1" si="138">$R60*P60</f>
        <v>0</v>
      </c>
      <c r="T60" s="128">
        <f t="shared" ca="1" si="138"/>
        <v>0</v>
      </c>
      <c r="V60" s="75">
        <f ca="1"/>
        <v>1.1601512076185401</v>
      </c>
      <c r="W60" s="75">
        <f ca="1"/>
        <v>7.6971426862063677</v>
      </c>
      <c r="X60" s="21">
        <f ca="1">'res bld calcs'!G51-R60</f>
        <v>1763</v>
      </c>
      <c r="Y60" s="128">
        <f t="shared" ref="Y60:Z60" ca="1" si="139">$X60*V60</f>
        <v>2045.346579031486</v>
      </c>
      <c r="Z60" s="128">
        <f t="shared" ca="1" si="139"/>
        <v>13570.062555781826</v>
      </c>
    </row>
    <row r="61" spans="13:26" ht="13.2">
      <c r="M61" s="20" t="s">
        <v>9</v>
      </c>
      <c r="N61" s="20" t="s">
        <v>370</v>
      </c>
      <c r="O61" s="20" t="s">
        <v>369</v>
      </c>
      <c r="P61" s="46">
        <f t="shared" ref="P61:Q61" ca="1" si="140">(1-$C$5)*V61</f>
        <v>3.5212057845319871</v>
      </c>
      <c r="Q61" s="46">
        <f t="shared" ca="1" si="140"/>
        <v>1.1040196696691932E-2</v>
      </c>
      <c r="R61" s="21">
        <f t="shared" si="3"/>
        <v>0</v>
      </c>
      <c r="S61" s="128">
        <f t="shared" ref="S61:T61" ca="1" si="141">$R61*P61</f>
        <v>0</v>
      </c>
      <c r="T61" s="128">
        <f t="shared" ca="1" si="141"/>
        <v>0</v>
      </c>
      <c r="V61" s="75">
        <f ca="1"/>
        <v>3.5212057845319871</v>
      </c>
      <c r="W61" s="75">
        <f ca="1"/>
        <v>1.1040196696691932E-2</v>
      </c>
      <c r="X61" s="21">
        <f ca="1">'res bld calcs'!G52-R61</f>
        <v>36903</v>
      </c>
      <c r="Y61" s="128">
        <f t="shared" ref="Y61:Z61" ca="1" si="142">$X61*V61</f>
        <v>129943.05706658392</v>
      </c>
      <c r="Z61" s="128">
        <f t="shared" ca="1" si="142"/>
        <v>407.41637869802236</v>
      </c>
    </row>
    <row r="62" spans="13:26" ht="13.2">
      <c r="M62" s="20" t="s">
        <v>9</v>
      </c>
      <c r="N62" s="20" t="s">
        <v>370</v>
      </c>
      <c r="O62" s="20" t="s">
        <v>372</v>
      </c>
      <c r="P62" s="46">
        <f t="shared" ref="P62:Q62" ca="1" si="143">(1-$C$5)*V62</f>
        <v>5.8767861815302194</v>
      </c>
      <c r="Q62" s="46">
        <f t="shared" ca="1" si="143"/>
        <v>0.98310711088355007</v>
      </c>
      <c r="R62" s="21">
        <f t="shared" si="3"/>
        <v>0</v>
      </c>
      <c r="S62" s="128">
        <f t="shared" ref="S62:T62" ca="1" si="144">$R62*P62</f>
        <v>0</v>
      </c>
      <c r="T62" s="128">
        <f t="shared" ca="1" si="144"/>
        <v>0</v>
      </c>
      <c r="V62" s="75">
        <f ca="1"/>
        <v>5.8767861815302194</v>
      </c>
      <c r="W62" s="75">
        <f ca="1"/>
        <v>0.98310711088355007</v>
      </c>
      <c r="X62" s="21">
        <f ca="1">'res bld calcs'!G53-R62</f>
        <v>36903</v>
      </c>
      <c r="Y62" s="128">
        <f t="shared" ref="Y62:Z62" ca="1" si="145">$X62*V62</f>
        <v>216871.04045700969</v>
      </c>
      <c r="Z62" s="128">
        <f t="shared" ca="1" si="145"/>
        <v>36279.601712935648</v>
      </c>
    </row>
    <row r="63" spans="13:26" ht="13.2">
      <c r="M63" s="20" t="s">
        <v>9</v>
      </c>
      <c r="N63" s="20" t="s">
        <v>370</v>
      </c>
      <c r="O63" s="20" t="s">
        <v>374</v>
      </c>
      <c r="P63" s="46">
        <f t="shared" ref="P63:Q63" ca="1" si="146">(1-$C$5)*V63</f>
        <v>6.5220004446697422</v>
      </c>
      <c r="Q63" s="46">
        <f t="shared" ca="1" si="146"/>
        <v>0</v>
      </c>
      <c r="R63" s="21">
        <f t="shared" si="3"/>
        <v>0</v>
      </c>
      <c r="S63" s="128">
        <f t="shared" ref="S63:T63" ca="1" si="147">$R63*P63</f>
        <v>0</v>
      </c>
      <c r="T63" s="128">
        <f t="shared" ca="1" si="147"/>
        <v>0</v>
      </c>
      <c r="V63" s="75">
        <f ca="1"/>
        <v>6.5220004446697422</v>
      </c>
      <c r="W63" s="75">
        <f ca="1"/>
        <v>0</v>
      </c>
      <c r="X63" s="21">
        <f ca="1">'res bld calcs'!G54-R63</f>
        <v>36903</v>
      </c>
      <c r="Y63" s="128">
        <f t="shared" ref="Y63:Z63" ca="1" si="148">$X63*V63</f>
        <v>240681.38240964749</v>
      </c>
      <c r="Z63" s="128">
        <f t="shared" ca="1" si="148"/>
        <v>0</v>
      </c>
    </row>
    <row r="64" spans="13:26" ht="13.2">
      <c r="M64" s="20" t="s">
        <v>9</v>
      </c>
      <c r="N64" s="20" t="s">
        <v>370</v>
      </c>
      <c r="O64" s="20" t="s">
        <v>375</v>
      </c>
      <c r="P64" s="46">
        <f t="shared" ref="P64:Q64" ca="1" si="149">(1-$C$5)*V64</f>
        <v>2.3115765377707342</v>
      </c>
      <c r="Q64" s="46">
        <f t="shared" ca="1" si="149"/>
        <v>0</v>
      </c>
      <c r="R64" s="21">
        <f t="shared" si="3"/>
        <v>0</v>
      </c>
      <c r="S64" s="128">
        <f t="shared" ref="S64:T64" ca="1" si="150">$R64*P64</f>
        <v>0</v>
      </c>
      <c r="T64" s="128">
        <f t="shared" ca="1" si="150"/>
        <v>0</v>
      </c>
      <c r="V64" s="75">
        <f ca="1"/>
        <v>2.3115765377707342</v>
      </c>
      <c r="W64" s="75">
        <f ca="1"/>
        <v>0</v>
      </c>
      <c r="X64" s="21">
        <f ca="1">'res bld calcs'!G55-R64</f>
        <v>36903</v>
      </c>
      <c r="Y64" s="128">
        <f t="shared" ref="Y64:Z64" ca="1" si="151">$X64*V64</f>
        <v>85304.108973353403</v>
      </c>
      <c r="Z64" s="128">
        <f t="shared" ca="1" si="151"/>
        <v>0</v>
      </c>
    </row>
    <row r="65" spans="13:26" ht="13.2">
      <c r="M65" s="20" t="s">
        <v>9</v>
      </c>
      <c r="N65" s="20" t="s">
        <v>370</v>
      </c>
      <c r="O65" s="20" t="s">
        <v>376</v>
      </c>
      <c r="P65" s="46">
        <f t="shared" ref="P65:Q65" ca="1" si="152">(1-$C$5)*V65</f>
        <v>4.3160726271486727</v>
      </c>
      <c r="Q65" s="46">
        <f t="shared" ca="1" si="152"/>
        <v>0</v>
      </c>
      <c r="R65" s="21">
        <f t="shared" si="3"/>
        <v>0</v>
      </c>
      <c r="S65" s="128">
        <f t="shared" ref="S65:T65" ca="1" si="153">$R65*P65</f>
        <v>0</v>
      </c>
      <c r="T65" s="128">
        <f t="shared" ca="1" si="153"/>
        <v>0</v>
      </c>
      <c r="V65" s="75">
        <f ca="1"/>
        <v>4.3160726271486727</v>
      </c>
      <c r="W65" s="75">
        <f ca="1"/>
        <v>0</v>
      </c>
      <c r="X65" s="21">
        <f ca="1">'res bld calcs'!G56-R65</f>
        <v>36903</v>
      </c>
      <c r="Y65" s="128">
        <f t="shared" ref="Y65:Z65" ca="1" si="154">$X65*V65</f>
        <v>159276.02815966748</v>
      </c>
      <c r="Z65" s="128">
        <f t="shared" ca="1" si="154"/>
        <v>0</v>
      </c>
    </row>
    <row r="66" spans="13:26" ht="13.2">
      <c r="M66" s="20" t="s">
        <v>9</v>
      </c>
      <c r="N66" s="20" t="s">
        <v>370</v>
      </c>
      <c r="O66" s="20" t="s">
        <v>377</v>
      </c>
      <c r="P66" s="46">
        <f ca="1">IF($C$6="Yes",((1-$C$4)*W66/$F$4)+V66,(1-$C$4)*V66)</f>
        <v>6.8727419762430122</v>
      </c>
      <c r="Q66" s="46">
        <f ca="1">IF($C$6="Yes",0,(1-$C$4)*W66)</f>
        <v>16.618984137362549</v>
      </c>
      <c r="R66" s="21">
        <f t="shared" si="3"/>
        <v>0</v>
      </c>
      <c r="S66" s="128">
        <f t="shared" ref="S66:T66" ca="1" si="155">$R66*P66</f>
        <v>0</v>
      </c>
      <c r="T66" s="128">
        <f t="shared" ca="1" si="155"/>
        <v>0</v>
      </c>
      <c r="V66" s="75">
        <f ca="1"/>
        <v>13.745483952486024</v>
      </c>
      <c r="W66" s="75">
        <f ca="1"/>
        <v>33.237968274725098</v>
      </c>
      <c r="X66" s="21">
        <f ca="1">'res bld calcs'!G57-R66</f>
        <v>36903</v>
      </c>
      <c r="Y66" s="128">
        <f t="shared" ref="Y66:Z66" ca="1" si="156">$X66*V66</f>
        <v>507249.59429859178</v>
      </c>
      <c r="Z66" s="128">
        <f t="shared" ca="1" si="156"/>
        <v>1226580.7432421802</v>
      </c>
    </row>
    <row r="67" spans="13:26" ht="13.2">
      <c r="M67" s="20" t="s">
        <v>9</v>
      </c>
      <c r="N67" s="20" t="s">
        <v>370</v>
      </c>
      <c r="O67" s="20" t="s">
        <v>378</v>
      </c>
      <c r="P67" s="46">
        <f ca="1">IF($C$7="Yes",((1-$C$5)*W67/$F$4)+V67,(1-$C$5)*V67)</f>
        <v>2.9509771106353511</v>
      </c>
      <c r="Q67" s="46">
        <f ca="1">IF($C$7="Yes",0,(1-$C$5)*W67)</f>
        <v>4.9894495864755752</v>
      </c>
      <c r="R67" s="21">
        <f t="shared" si="3"/>
        <v>0</v>
      </c>
      <c r="S67" s="128">
        <f t="shared" ref="S67:T67" ca="1" si="157">$R67*P67</f>
        <v>0</v>
      </c>
      <c r="T67" s="128">
        <f t="shared" ca="1" si="157"/>
        <v>0</v>
      </c>
      <c r="V67" s="75">
        <f ca="1"/>
        <v>2.9509771106353511</v>
      </c>
      <c r="W67" s="75">
        <f ca="1"/>
        <v>4.9894495864755752</v>
      </c>
      <c r="X67" s="21">
        <f ca="1">'res bld calcs'!G58-R67</f>
        <v>36903</v>
      </c>
      <c r="Y67" s="128">
        <f t="shared" ref="Y67:Z67" ca="1" si="158">$X67*V67</f>
        <v>108899.90831377637</v>
      </c>
      <c r="Z67" s="128">
        <f t="shared" ca="1" si="158"/>
        <v>184125.65808970816</v>
      </c>
    </row>
    <row r="68" spans="13:26" ht="13.2">
      <c r="M68" s="20" t="s">
        <v>10</v>
      </c>
      <c r="N68" s="20" t="s">
        <v>366</v>
      </c>
      <c r="O68" s="20" t="s">
        <v>369</v>
      </c>
      <c r="P68" s="46">
        <f t="shared" ref="P68:Q68" ca="1" si="159">(1-$C$5)*V68</f>
        <v>1.9954441974219896</v>
      </c>
      <c r="Q68" s="46">
        <f t="shared" ca="1" si="159"/>
        <v>0</v>
      </c>
      <c r="R68" s="21">
        <f t="shared" si="3"/>
        <v>0</v>
      </c>
      <c r="S68" s="128">
        <f t="shared" ref="S68:T68" ca="1" si="160">$R68*P68</f>
        <v>0</v>
      </c>
      <c r="T68" s="128">
        <f t="shared" ca="1" si="160"/>
        <v>0</v>
      </c>
      <c r="V68" s="75">
        <f ca="1"/>
        <v>1.9954441974219896</v>
      </c>
      <c r="W68" s="75">
        <f ca="1"/>
        <v>0</v>
      </c>
      <c r="X68" s="21">
        <f ca="1">'res bld calcs'!G59-R68</f>
        <v>3530</v>
      </c>
      <c r="Y68" s="128">
        <f t="shared" ref="Y68:Z68" ca="1" si="161">$X68*V68</f>
        <v>7043.9180168996236</v>
      </c>
      <c r="Z68" s="128">
        <f t="shared" ca="1" si="161"/>
        <v>0</v>
      </c>
    </row>
    <row r="69" spans="13:26" ht="13.2">
      <c r="M69" s="20" t="s">
        <v>10</v>
      </c>
      <c r="N69" s="20" t="s">
        <v>366</v>
      </c>
      <c r="O69" s="20" t="s">
        <v>372</v>
      </c>
      <c r="P69" s="46">
        <f t="shared" ref="P69:Q69" ca="1" si="162">(1-$C$5)*V69</f>
        <v>3.890178230645247</v>
      </c>
      <c r="Q69" s="46">
        <f t="shared" ca="1" si="162"/>
        <v>0.61155041500401652</v>
      </c>
      <c r="R69" s="21">
        <f t="shared" si="3"/>
        <v>0</v>
      </c>
      <c r="S69" s="128">
        <f t="shared" ref="S69:T69" ca="1" si="163">$R69*P69</f>
        <v>0</v>
      </c>
      <c r="T69" s="128">
        <f t="shared" ca="1" si="163"/>
        <v>0</v>
      </c>
      <c r="V69" s="75">
        <f ca="1"/>
        <v>3.890178230645247</v>
      </c>
      <c r="W69" s="75">
        <f ca="1"/>
        <v>0.61155041500401652</v>
      </c>
      <c r="X69" s="21">
        <f ca="1">'res bld calcs'!G60-R69</f>
        <v>3530</v>
      </c>
      <c r="Y69" s="128">
        <f t="shared" ref="Y69:Z69" ca="1" si="164">$X69*V69</f>
        <v>13732.329154177722</v>
      </c>
      <c r="Z69" s="128">
        <f t="shared" ca="1" si="164"/>
        <v>2158.7729649641783</v>
      </c>
    </row>
    <row r="70" spans="13:26" ht="13.2">
      <c r="M70" s="20" t="s">
        <v>10</v>
      </c>
      <c r="N70" s="20" t="s">
        <v>366</v>
      </c>
      <c r="O70" s="20" t="s">
        <v>374</v>
      </c>
      <c r="P70" s="46">
        <f t="shared" ref="P70:Q70" ca="1" si="165">(1-$C$5)*V70</f>
        <v>6.0747588837814321</v>
      </c>
      <c r="Q70" s="46">
        <f t="shared" ca="1" si="165"/>
        <v>0</v>
      </c>
      <c r="R70" s="21">
        <f t="shared" si="3"/>
        <v>0</v>
      </c>
      <c r="S70" s="128">
        <f t="shared" ref="S70:T70" ca="1" si="166">$R70*P70</f>
        <v>0</v>
      </c>
      <c r="T70" s="128">
        <f t="shared" ca="1" si="166"/>
        <v>0</v>
      </c>
      <c r="V70" s="75">
        <f ca="1"/>
        <v>6.0747588837814321</v>
      </c>
      <c r="W70" s="75">
        <f ca="1"/>
        <v>0</v>
      </c>
      <c r="X70" s="21">
        <f ca="1">'res bld calcs'!G61-R70</f>
        <v>3530</v>
      </c>
      <c r="Y70" s="128">
        <f t="shared" ref="Y70:Z70" ca="1" si="167">$X70*V70</f>
        <v>21443.898859748457</v>
      </c>
      <c r="Z70" s="128">
        <f t="shared" ca="1" si="167"/>
        <v>0</v>
      </c>
    </row>
    <row r="71" spans="13:26" ht="13.2">
      <c r="M71" s="20" t="s">
        <v>10</v>
      </c>
      <c r="N71" s="20" t="s">
        <v>366</v>
      </c>
      <c r="O71" s="20" t="s">
        <v>375</v>
      </c>
      <c r="P71" s="46">
        <f t="shared" ref="P71:Q71" ca="1" si="168">(1-$C$5)*V71</f>
        <v>2.368526154388229</v>
      </c>
      <c r="Q71" s="46">
        <f t="shared" ca="1" si="168"/>
        <v>0</v>
      </c>
      <c r="R71" s="21">
        <f t="shared" si="3"/>
        <v>0</v>
      </c>
      <c r="S71" s="128">
        <f t="shared" ref="S71:T71" ca="1" si="169">$R71*P71</f>
        <v>0</v>
      </c>
      <c r="T71" s="128">
        <f t="shared" ca="1" si="169"/>
        <v>0</v>
      </c>
      <c r="V71" s="75">
        <f ca="1"/>
        <v>2.368526154388229</v>
      </c>
      <c r="W71" s="75">
        <f ca="1"/>
        <v>0</v>
      </c>
      <c r="X71" s="21">
        <f ca="1">'res bld calcs'!G62-R71</f>
        <v>3530</v>
      </c>
      <c r="Y71" s="128">
        <f t="shared" ref="Y71:Z71" ca="1" si="170">$X71*V71</f>
        <v>8360.8973249904484</v>
      </c>
      <c r="Z71" s="128">
        <f t="shared" ca="1" si="170"/>
        <v>0</v>
      </c>
    </row>
    <row r="72" spans="13:26" ht="13.2">
      <c r="M72" s="20" t="s">
        <v>10</v>
      </c>
      <c r="N72" s="20" t="s">
        <v>366</v>
      </c>
      <c r="O72" s="20" t="s">
        <v>376</v>
      </c>
      <c r="P72" s="46">
        <f t="shared" ref="P72:Q72" ca="1" si="171">(1-$C$5)*V72</f>
        <v>4.353286492760744</v>
      </c>
      <c r="Q72" s="46">
        <f t="shared" ca="1" si="171"/>
        <v>0</v>
      </c>
      <c r="R72" s="21">
        <f t="shared" si="3"/>
        <v>0</v>
      </c>
      <c r="S72" s="128">
        <f t="shared" ref="S72:T72" ca="1" si="172">$R72*P72</f>
        <v>0</v>
      </c>
      <c r="T72" s="128">
        <f t="shared" ca="1" si="172"/>
        <v>0</v>
      </c>
      <c r="V72" s="75">
        <f ca="1"/>
        <v>4.353286492760744</v>
      </c>
      <c r="W72" s="75">
        <f ca="1"/>
        <v>0</v>
      </c>
      <c r="X72" s="21">
        <f ca="1">'res bld calcs'!G63-R72</f>
        <v>3530</v>
      </c>
      <c r="Y72" s="128">
        <f t="shared" ref="Y72:Z72" ca="1" si="173">$X72*V72</f>
        <v>15367.101319445426</v>
      </c>
      <c r="Z72" s="128">
        <f t="shared" ca="1" si="173"/>
        <v>0</v>
      </c>
    </row>
    <row r="73" spans="13:26" ht="13.2">
      <c r="M73" s="20" t="s">
        <v>10</v>
      </c>
      <c r="N73" s="20" t="s">
        <v>366</v>
      </c>
      <c r="O73" s="20" t="s">
        <v>377</v>
      </c>
      <c r="P73" s="46">
        <f ca="1">IF($C$6="Yes",((1-$C$4)*W73/$F$4)+V73,(1-$C$4)*V73)</f>
        <v>7.0960476353513453</v>
      </c>
      <c r="Q73" s="46">
        <f ca="1">IF($C$6="Yes",0,(1-$C$4)*W73)</f>
        <v>21.589557460681913</v>
      </c>
      <c r="R73" s="21">
        <f t="shared" si="3"/>
        <v>0</v>
      </c>
      <c r="S73" s="128">
        <f t="shared" ref="S73:T73" ca="1" si="174">$R73*P73</f>
        <v>0</v>
      </c>
      <c r="T73" s="128">
        <f t="shared" ca="1" si="174"/>
        <v>0</v>
      </c>
      <c r="V73" s="75">
        <f ca="1"/>
        <v>14.192095270702691</v>
      </c>
      <c r="W73" s="75">
        <f ca="1"/>
        <v>43.179114921363826</v>
      </c>
      <c r="X73" s="21">
        <f ca="1">'res bld calcs'!G64-R73</f>
        <v>3530</v>
      </c>
      <c r="Y73" s="128">
        <f t="shared" ref="Y73:Z73" ca="1" si="175">$X73*V73</f>
        <v>50098.096305580497</v>
      </c>
      <c r="Z73" s="128">
        <f t="shared" ca="1" si="175"/>
        <v>152422.27567241431</v>
      </c>
    </row>
    <row r="74" spans="13:26" ht="13.2">
      <c r="M74" s="20" t="s">
        <v>10</v>
      </c>
      <c r="N74" s="20" t="s">
        <v>366</v>
      </c>
      <c r="O74" s="20" t="s">
        <v>378</v>
      </c>
      <c r="P74" s="46">
        <f ca="1">IF($C$7="Yes",((1-$C$5)*W74/$F$4)+V74,(1-$C$5)*V74)</f>
        <v>2.4761572967802787</v>
      </c>
      <c r="Q74" s="46">
        <f ca="1">IF($C$7="Yes",0,(1-$C$5)*W74)</f>
        <v>6.5688262434905091</v>
      </c>
      <c r="R74" s="21">
        <f t="shared" si="3"/>
        <v>0</v>
      </c>
      <c r="S74" s="128">
        <f t="shared" ref="S74:T74" ca="1" si="176">$R74*P74</f>
        <v>0</v>
      </c>
      <c r="T74" s="128">
        <f t="shared" ca="1" si="176"/>
        <v>0</v>
      </c>
      <c r="V74" s="75">
        <f ca="1"/>
        <v>2.4761572967802787</v>
      </c>
      <c r="W74" s="75">
        <f ca="1"/>
        <v>6.5688262434905091</v>
      </c>
      <c r="X74" s="21">
        <f ca="1">'res bld calcs'!G65-R74</f>
        <v>3530</v>
      </c>
      <c r="Y74" s="128">
        <f t="shared" ref="Y74:Z74" ca="1" si="177">$X74*V74</f>
        <v>8740.8352576343841</v>
      </c>
      <c r="Z74" s="128">
        <f t="shared" ca="1" si="177"/>
        <v>23187.956639521497</v>
      </c>
    </row>
    <row r="75" spans="13:26" ht="13.2">
      <c r="M75" s="20" t="s">
        <v>10</v>
      </c>
      <c r="N75" s="20" t="s">
        <v>371</v>
      </c>
      <c r="O75" s="20" t="s">
        <v>369</v>
      </c>
      <c r="P75" s="46">
        <f t="shared" ref="P75:Q75" ca="1" si="178">(1-$C$5)*V75</f>
        <v>2.9248413009060599</v>
      </c>
      <c r="Q75" s="46">
        <f t="shared" ca="1" si="178"/>
        <v>2.7873940655262393E-2</v>
      </c>
      <c r="R75" s="21">
        <f t="shared" si="3"/>
        <v>0</v>
      </c>
      <c r="S75" s="128">
        <f t="shared" ref="S75:T75" ca="1" si="179">$R75*P75</f>
        <v>0</v>
      </c>
      <c r="T75" s="128">
        <f t="shared" ca="1" si="179"/>
        <v>0</v>
      </c>
      <c r="V75" s="75">
        <f ca="1"/>
        <v>2.9248413009060599</v>
      </c>
      <c r="W75" s="75">
        <f ca="1"/>
        <v>2.7873940655262393E-2</v>
      </c>
      <c r="X75" s="21">
        <f ca="1">'res bld calcs'!G66-R75</f>
        <v>60947</v>
      </c>
      <c r="Y75" s="128">
        <f t="shared" ref="Y75:Z75" ca="1" si="180">$X75*V75</f>
        <v>178260.30276632163</v>
      </c>
      <c r="Z75" s="128">
        <f t="shared" ca="1" si="180"/>
        <v>1698.8330611162771</v>
      </c>
    </row>
    <row r="76" spans="13:26" ht="13.2">
      <c r="M76" s="20" t="s">
        <v>10</v>
      </c>
      <c r="N76" s="20" t="s">
        <v>371</v>
      </c>
      <c r="O76" s="20" t="s">
        <v>372</v>
      </c>
      <c r="P76" s="46">
        <f t="shared" ref="P76:Q76" ca="1" si="181">(1-$C$5)*V76</f>
        <v>3.9795558467037027</v>
      </c>
      <c r="Q76" s="46">
        <f t="shared" ca="1" si="181"/>
        <v>1.0109962256509577</v>
      </c>
      <c r="R76" s="21">
        <f t="shared" si="3"/>
        <v>0</v>
      </c>
      <c r="S76" s="128">
        <f t="shared" ref="S76:T76" ca="1" si="182">$R76*P76</f>
        <v>0</v>
      </c>
      <c r="T76" s="128">
        <f t="shared" ca="1" si="182"/>
        <v>0</v>
      </c>
      <c r="V76" s="75">
        <f ca="1"/>
        <v>3.9795558467037027</v>
      </c>
      <c r="W76" s="75">
        <f ca="1"/>
        <v>1.0109962256509577</v>
      </c>
      <c r="X76" s="21">
        <f ca="1">'res bld calcs'!G67-R76</f>
        <v>60947</v>
      </c>
      <c r="Y76" s="128">
        <f t="shared" ref="Y76:Z76" ca="1" si="183">$X76*V76</f>
        <v>242541.99018905056</v>
      </c>
      <c r="Z76" s="128">
        <f t="shared" ca="1" si="183"/>
        <v>61617.186964748922</v>
      </c>
    </row>
    <row r="77" spans="13:26" ht="13.2">
      <c r="M77" s="20" t="s">
        <v>10</v>
      </c>
      <c r="N77" s="20" t="s">
        <v>371</v>
      </c>
      <c r="O77" s="20" t="s">
        <v>374</v>
      </c>
      <c r="P77" s="46">
        <f t="shared" ref="P77:Q77" ca="1" si="184">(1-$C$5)*V77</f>
        <v>5.2253116140792777</v>
      </c>
      <c r="Q77" s="46">
        <f t="shared" ca="1" si="184"/>
        <v>0</v>
      </c>
      <c r="R77" s="21">
        <f t="shared" si="3"/>
        <v>0</v>
      </c>
      <c r="S77" s="128">
        <f t="shared" ref="S77:T77" ca="1" si="185">$R77*P77</f>
        <v>0</v>
      </c>
      <c r="T77" s="128">
        <f t="shared" ca="1" si="185"/>
        <v>0</v>
      </c>
      <c r="V77" s="75">
        <f ca="1"/>
        <v>5.2253116140792777</v>
      </c>
      <c r="W77" s="75">
        <f ca="1"/>
        <v>0</v>
      </c>
      <c r="X77" s="21">
        <f ca="1">'res bld calcs'!G68-R77</f>
        <v>60947</v>
      </c>
      <c r="Y77" s="128">
        <f t="shared" ref="Y77:Z77" ca="1" si="186">$X77*V77</f>
        <v>318467.06694328971</v>
      </c>
      <c r="Z77" s="128">
        <f t="shared" ca="1" si="186"/>
        <v>0</v>
      </c>
    </row>
    <row r="78" spans="13:26" ht="13.2">
      <c r="M78" s="20" t="s">
        <v>10</v>
      </c>
      <c r="N78" s="20" t="s">
        <v>371</v>
      </c>
      <c r="O78" s="20" t="s">
        <v>375</v>
      </c>
      <c r="P78" s="46">
        <f t="shared" ref="P78:Q78" ca="1" si="187">(1-$C$5)*V78</f>
        <v>1.0708653705056941</v>
      </c>
      <c r="Q78" s="46">
        <f t="shared" ca="1" si="187"/>
        <v>0</v>
      </c>
      <c r="R78" s="21">
        <f t="shared" si="3"/>
        <v>0</v>
      </c>
      <c r="S78" s="128">
        <f t="shared" ref="S78:T78" ca="1" si="188">$R78*P78</f>
        <v>0</v>
      </c>
      <c r="T78" s="128">
        <f t="shared" ca="1" si="188"/>
        <v>0</v>
      </c>
      <c r="V78" s="75">
        <f ca="1"/>
        <v>1.0708653705056941</v>
      </c>
      <c r="W78" s="75">
        <f ca="1"/>
        <v>0</v>
      </c>
      <c r="X78" s="21">
        <f ca="1">'res bld calcs'!G69-R78</f>
        <v>60947</v>
      </c>
      <c r="Y78" s="128">
        <f t="shared" ref="Y78:Z78" ca="1" si="189">$X78*V78</f>
        <v>65266.031736210534</v>
      </c>
      <c r="Z78" s="128">
        <f t="shared" ca="1" si="189"/>
        <v>0</v>
      </c>
    </row>
    <row r="79" spans="13:26" ht="13.2">
      <c r="M79" s="20" t="s">
        <v>10</v>
      </c>
      <c r="N79" s="20" t="s">
        <v>371</v>
      </c>
      <c r="O79" s="20" t="s">
        <v>376</v>
      </c>
      <c r="P79" s="46">
        <f t="shared" ref="P79:Q79" ca="1" si="190">(1-$C$5)*V79</f>
        <v>3.509091427654988</v>
      </c>
      <c r="Q79" s="46">
        <f t="shared" ca="1" si="190"/>
        <v>0</v>
      </c>
      <c r="R79" s="21">
        <f t="shared" si="3"/>
        <v>0</v>
      </c>
      <c r="S79" s="128">
        <f t="shared" ref="S79:T79" ca="1" si="191">$R79*P79</f>
        <v>0</v>
      </c>
      <c r="T79" s="128">
        <f t="shared" ca="1" si="191"/>
        <v>0</v>
      </c>
      <c r="V79" s="75">
        <f ca="1"/>
        <v>3.509091427654988</v>
      </c>
      <c r="W79" s="75">
        <f ca="1"/>
        <v>0</v>
      </c>
      <c r="X79" s="21">
        <f ca="1">'res bld calcs'!G70-R79</f>
        <v>60947</v>
      </c>
      <c r="Y79" s="128">
        <f t="shared" ref="Y79:Z79" ca="1" si="192">$X79*V79</f>
        <v>213868.59524128857</v>
      </c>
      <c r="Z79" s="128">
        <f t="shared" ca="1" si="192"/>
        <v>0</v>
      </c>
    </row>
    <row r="80" spans="13:26" ht="13.2">
      <c r="M80" s="20" t="s">
        <v>10</v>
      </c>
      <c r="N80" s="20" t="s">
        <v>371</v>
      </c>
      <c r="O80" s="20" t="s">
        <v>377</v>
      </c>
      <c r="P80" s="46">
        <f ca="1">IF($C$6="Yes",((1-$C$4)*W80/$F$4)+V80,(1-$C$4)*V80)</f>
        <v>7.6581233732154024</v>
      </c>
      <c r="Q80" s="46">
        <f ca="1">IF($C$6="Yes",0,(1-$C$4)*W80)</f>
        <v>18.738916693432383</v>
      </c>
      <c r="R80" s="21">
        <f t="shared" si="3"/>
        <v>0</v>
      </c>
      <c r="S80" s="128">
        <f t="shared" ref="S80:T80" ca="1" si="193">$R80*P80</f>
        <v>0</v>
      </c>
      <c r="T80" s="128">
        <f t="shared" ca="1" si="193"/>
        <v>0</v>
      </c>
      <c r="V80" s="75">
        <f ca="1"/>
        <v>15.316246746430805</v>
      </c>
      <c r="W80" s="75">
        <f ca="1"/>
        <v>37.477833386864766</v>
      </c>
      <c r="X80" s="21">
        <f ca="1">'res bld calcs'!G71-R80</f>
        <v>60947</v>
      </c>
      <c r="Y80" s="128">
        <f t="shared" ref="Y80:Z80" ca="1" si="194">$X80*V80</f>
        <v>933479.29045471828</v>
      </c>
      <c r="Z80" s="128">
        <f t="shared" ca="1" si="194"/>
        <v>2284161.511429247</v>
      </c>
    </row>
    <row r="81" spans="13:26" ht="13.2">
      <c r="M81" s="20" t="s">
        <v>10</v>
      </c>
      <c r="N81" s="20" t="s">
        <v>371</v>
      </c>
      <c r="O81" s="20" t="s">
        <v>378</v>
      </c>
      <c r="P81" s="46">
        <f ca="1">IF($C$7="Yes",((1-$C$5)*W81/$F$4)+V81,(1-$C$5)*V81)</f>
        <v>3.3245342202000812</v>
      </c>
      <c r="Q81" s="46">
        <f ca="1">IF($C$7="Yes",0,(1-$C$5)*W81)</f>
        <v>11.842788026687362</v>
      </c>
      <c r="R81" s="21">
        <f t="shared" si="3"/>
        <v>0</v>
      </c>
      <c r="S81" s="128">
        <f t="shared" ref="S81:T81" ca="1" si="195">$R81*P81</f>
        <v>0</v>
      </c>
      <c r="T81" s="128">
        <f t="shared" ca="1" si="195"/>
        <v>0</v>
      </c>
      <c r="V81" s="75">
        <f ca="1"/>
        <v>3.3245342202000812</v>
      </c>
      <c r="W81" s="75">
        <f ca="1"/>
        <v>11.842788026687362</v>
      </c>
      <c r="X81" s="21">
        <f ca="1">'res bld calcs'!G72-R81</f>
        <v>60947</v>
      </c>
      <c r="Y81" s="128">
        <f t="shared" ref="Y81:Z81" ca="1" si="196">$X81*V81</f>
        <v>202620.38711853436</v>
      </c>
      <c r="Z81" s="128">
        <f t="shared" ca="1" si="196"/>
        <v>721782.40186251467</v>
      </c>
    </row>
    <row r="82" spans="13:26" ht="13.2">
      <c r="M82" s="20" t="s">
        <v>10</v>
      </c>
      <c r="N82" s="20" t="s">
        <v>373</v>
      </c>
      <c r="O82" s="20" t="s">
        <v>369</v>
      </c>
      <c r="P82" s="46">
        <f t="shared" ref="P82:Q82" ca="1" si="197">(1-$C$5)*V82</f>
        <v>3.1062556166733932</v>
      </c>
      <c r="Q82" s="46">
        <f t="shared" ca="1" si="197"/>
        <v>0</v>
      </c>
      <c r="R82" s="21">
        <f t="shared" si="3"/>
        <v>0</v>
      </c>
      <c r="S82" s="128">
        <f t="shared" ref="S82:T82" ca="1" si="198">$R82*P82</f>
        <v>0</v>
      </c>
      <c r="T82" s="128">
        <f t="shared" ca="1" si="198"/>
        <v>0</v>
      </c>
      <c r="V82" s="75">
        <f ca="1"/>
        <v>3.1062556166733932</v>
      </c>
      <c r="W82" s="75">
        <f ca="1"/>
        <v>0</v>
      </c>
      <c r="X82" s="21">
        <f ca="1">'res bld calcs'!G73-R82</f>
        <v>16893</v>
      </c>
      <c r="Y82" s="128">
        <f t="shared" ref="Y82:Z82" ca="1" si="199">$X82*V82</f>
        <v>52473.976132463635</v>
      </c>
      <c r="Z82" s="128">
        <f t="shared" ca="1" si="199"/>
        <v>0</v>
      </c>
    </row>
    <row r="83" spans="13:26" ht="13.2">
      <c r="M83" s="20" t="s">
        <v>10</v>
      </c>
      <c r="N83" s="20" t="s">
        <v>373</v>
      </c>
      <c r="O83" s="20" t="s">
        <v>372</v>
      </c>
      <c r="P83" s="46">
        <f t="shared" ref="P83:Q83" ca="1" si="200">(1-$C$5)*V83</f>
        <v>4.7243806123531256</v>
      </c>
      <c r="Q83" s="46">
        <f t="shared" ca="1" si="200"/>
        <v>1.2058862659533733</v>
      </c>
      <c r="R83" s="21">
        <f t="shared" si="3"/>
        <v>0</v>
      </c>
      <c r="S83" s="128">
        <f t="shared" ref="S83:T83" ca="1" si="201">$R83*P83</f>
        <v>0</v>
      </c>
      <c r="T83" s="128">
        <f t="shared" ca="1" si="201"/>
        <v>0</v>
      </c>
      <c r="V83" s="75">
        <f ca="1"/>
        <v>4.7243806123531256</v>
      </c>
      <c r="W83" s="75">
        <f ca="1"/>
        <v>1.2058862659533733</v>
      </c>
      <c r="X83" s="21">
        <f ca="1">'res bld calcs'!G74-R83</f>
        <v>16893</v>
      </c>
      <c r="Y83" s="128">
        <f t="shared" ref="Y83:Z83" ca="1" si="202">$X83*V83</f>
        <v>79808.961684481357</v>
      </c>
      <c r="Z83" s="128">
        <f t="shared" ca="1" si="202"/>
        <v>20371.036690750338</v>
      </c>
    </row>
    <row r="84" spans="13:26" ht="13.2">
      <c r="M84" s="20" t="s">
        <v>10</v>
      </c>
      <c r="N84" s="20" t="s">
        <v>373</v>
      </c>
      <c r="O84" s="20" t="s">
        <v>374</v>
      </c>
      <c r="P84" s="46">
        <f t="shared" ref="P84:Q84" ca="1" si="203">(1-$C$5)*V84</f>
        <v>7.2394571023029402</v>
      </c>
      <c r="Q84" s="46">
        <f t="shared" ca="1" si="203"/>
        <v>0</v>
      </c>
      <c r="R84" s="21">
        <f t="shared" si="3"/>
        <v>0</v>
      </c>
      <c r="S84" s="128">
        <f t="shared" ref="S84:T84" ca="1" si="204">$R84*P84</f>
        <v>0</v>
      </c>
      <c r="T84" s="128">
        <f t="shared" ca="1" si="204"/>
        <v>0</v>
      </c>
      <c r="V84" s="75">
        <f ca="1"/>
        <v>7.2394571023029402</v>
      </c>
      <c r="W84" s="75">
        <f ca="1"/>
        <v>0</v>
      </c>
      <c r="X84" s="21">
        <f ca="1">'res bld calcs'!G75-R84</f>
        <v>16893</v>
      </c>
      <c r="Y84" s="128">
        <f t="shared" ref="Y84:Z84" ca="1" si="205">$X84*V84</f>
        <v>122296.14882920356</v>
      </c>
      <c r="Z84" s="128">
        <f t="shared" ca="1" si="205"/>
        <v>0</v>
      </c>
    </row>
    <row r="85" spans="13:26" ht="13.2">
      <c r="M85" s="20" t="s">
        <v>10</v>
      </c>
      <c r="N85" s="20" t="s">
        <v>373</v>
      </c>
      <c r="O85" s="20" t="s">
        <v>375</v>
      </c>
      <c r="P85" s="46">
        <f t="shared" ref="P85:Q85" ca="1" si="206">(1-$C$5)*V85</f>
        <v>1.9415710542459741</v>
      </c>
      <c r="Q85" s="46">
        <f t="shared" ca="1" si="206"/>
        <v>0</v>
      </c>
      <c r="R85" s="21">
        <f t="shared" si="3"/>
        <v>0</v>
      </c>
      <c r="S85" s="128">
        <f t="shared" ref="S85:T85" ca="1" si="207">$R85*P85</f>
        <v>0</v>
      </c>
      <c r="T85" s="128">
        <f t="shared" ca="1" si="207"/>
        <v>0</v>
      </c>
      <c r="V85" s="75">
        <f ca="1"/>
        <v>1.9415710542459741</v>
      </c>
      <c r="W85" s="75">
        <f ca="1"/>
        <v>0</v>
      </c>
      <c r="X85" s="21">
        <f ca="1">'res bld calcs'!G76-R85</f>
        <v>16893</v>
      </c>
      <c r="Y85" s="128">
        <f t="shared" ref="Y85:Z85" ca="1" si="208">$X85*V85</f>
        <v>32798.95981937724</v>
      </c>
      <c r="Z85" s="128">
        <f t="shared" ca="1" si="208"/>
        <v>0</v>
      </c>
    </row>
    <row r="86" spans="13:26" ht="13.2">
      <c r="M86" s="20" t="s">
        <v>10</v>
      </c>
      <c r="N86" s="20" t="s">
        <v>373</v>
      </c>
      <c r="O86" s="20" t="s">
        <v>376</v>
      </c>
      <c r="P86" s="46">
        <f t="shared" ref="P86:Q86" ca="1" si="209">(1-$C$5)*V86</f>
        <v>3.677427016166968</v>
      </c>
      <c r="Q86" s="46">
        <f t="shared" ca="1" si="209"/>
        <v>0</v>
      </c>
      <c r="R86" s="21">
        <f t="shared" si="3"/>
        <v>0</v>
      </c>
      <c r="S86" s="128">
        <f t="shared" ref="S86:T86" ca="1" si="210">$R86*P86</f>
        <v>0</v>
      </c>
      <c r="T86" s="128">
        <f t="shared" ca="1" si="210"/>
        <v>0</v>
      </c>
      <c r="V86" s="75">
        <f ca="1"/>
        <v>3.677427016166968</v>
      </c>
      <c r="W86" s="75">
        <f ca="1"/>
        <v>0</v>
      </c>
      <c r="X86" s="21">
        <f ca="1">'res bld calcs'!G77-R86</f>
        <v>16893</v>
      </c>
      <c r="Y86" s="128">
        <f t="shared" ref="Y86:Z86" ca="1" si="211">$X86*V86</f>
        <v>62122.774584108593</v>
      </c>
      <c r="Z86" s="128">
        <f t="shared" ca="1" si="211"/>
        <v>0</v>
      </c>
    </row>
    <row r="87" spans="13:26" ht="13.2">
      <c r="M87" s="20" t="s">
        <v>10</v>
      </c>
      <c r="N87" s="20" t="s">
        <v>373</v>
      </c>
      <c r="O87" s="20" t="s">
        <v>377</v>
      </c>
      <c r="P87" s="46">
        <f ca="1">IF($C$6="Yes",((1-$C$4)*W87/$F$4)+V87,(1-$C$4)*V87)</f>
        <v>6.3420873619730669</v>
      </c>
      <c r="Q87" s="46">
        <f ca="1">IF($C$6="Yes",0,(1-$C$4)*W87)</f>
        <v>19.855108642057715</v>
      </c>
      <c r="R87" s="21">
        <f t="shared" si="3"/>
        <v>0</v>
      </c>
      <c r="S87" s="128">
        <f t="shared" ref="S87:T87" ca="1" si="212">$R87*P87</f>
        <v>0</v>
      </c>
      <c r="T87" s="128">
        <f t="shared" ca="1" si="212"/>
        <v>0</v>
      </c>
      <c r="V87" s="75">
        <f ca="1"/>
        <v>12.684174723946134</v>
      </c>
      <c r="W87" s="75">
        <f ca="1"/>
        <v>39.71021728411543</v>
      </c>
      <c r="X87" s="21">
        <f ca="1">'res bld calcs'!G78-R87</f>
        <v>16893</v>
      </c>
      <c r="Y87" s="128">
        <f t="shared" ref="Y87:Z87" ca="1" si="213">$X87*V87</f>
        <v>214273.76361162204</v>
      </c>
      <c r="Z87" s="128">
        <f t="shared" ca="1" si="213"/>
        <v>670824.700580562</v>
      </c>
    </row>
    <row r="88" spans="13:26" ht="13.2">
      <c r="M88" s="20" t="s">
        <v>10</v>
      </c>
      <c r="N88" s="20" t="s">
        <v>373</v>
      </c>
      <c r="O88" s="20" t="s">
        <v>378</v>
      </c>
      <c r="P88" s="46">
        <f ca="1">IF($C$7="Yes",((1-$C$5)*W88/$F$4)+V88,(1-$C$5)*V88)</f>
        <v>1.9771804007920744</v>
      </c>
      <c r="Q88" s="46">
        <f ca="1">IF($C$7="Yes",0,(1-$C$5)*W88)</f>
        <v>9.4433880297895492</v>
      </c>
      <c r="R88" s="21">
        <f t="shared" si="3"/>
        <v>0</v>
      </c>
      <c r="S88" s="128">
        <f t="shared" ref="S88:T88" ca="1" si="214">$R88*P88</f>
        <v>0</v>
      </c>
      <c r="T88" s="128">
        <f t="shared" ca="1" si="214"/>
        <v>0</v>
      </c>
      <c r="V88" s="75">
        <f ca="1"/>
        <v>1.9771804007920744</v>
      </c>
      <c r="W88" s="75">
        <f ca="1"/>
        <v>9.4433880297895492</v>
      </c>
      <c r="X88" s="21">
        <f ca="1">'res bld calcs'!G79-R88</f>
        <v>16893</v>
      </c>
      <c r="Y88" s="128">
        <f t="shared" ref="Y88:Z88" ca="1" si="215">$X88*V88</f>
        <v>33400.508510580512</v>
      </c>
      <c r="Z88" s="128">
        <f t="shared" ca="1" si="215"/>
        <v>159527.15398723487</v>
      </c>
    </row>
    <row r="89" spans="13:26" ht="13.2">
      <c r="M89" s="20" t="s">
        <v>10</v>
      </c>
      <c r="N89" s="20" t="s">
        <v>370</v>
      </c>
      <c r="O89" s="20" t="s">
        <v>369</v>
      </c>
      <c r="P89" s="46">
        <f t="shared" ref="P89:Q89" ca="1" si="216">(1-$C$5)*V89</f>
        <v>3.5189232150330203</v>
      </c>
      <c r="Q89" s="46">
        <f t="shared" ca="1" si="216"/>
        <v>1.3210238600415179E-2</v>
      </c>
      <c r="R89" s="21">
        <f t="shared" si="3"/>
        <v>1000</v>
      </c>
      <c r="S89" s="128">
        <f t="shared" ref="S89:T89" ca="1" si="217">$R89*P89</f>
        <v>3518.9232150330204</v>
      </c>
      <c r="T89" s="128">
        <f t="shared" ca="1" si="217"/>
        <v>13.210238600415179</v>
      </c>
      <c r="V89" s="75">
        <f ca="1"/>
        <v>3.5189232150330203</v>
      </c>
      <c r="W89" s="75">
        <f ca="1"/>
        <v>1.3210238600415179E-2</v>
      </c>
      <c r="X89" s="21">
        <f ca="1">'res bld calcs'!G80-R89</f>
        <v>169526</v>
      </c>
      <c r="Y89" s="128">
        <f t="shared" ref="Y89:Z89" ca="1" si="218">$X89*V89</f>
        <v>596548.97695168783</v>
      </c>
      <c r="Z89" s="128">
        <f t="shared" ca="1" si="218"/>
        <v>2239.4789089739834</v>
      </c>
    </row>
    <row r="90" spans="13:26" ht="13.2">
      <c r="M90" s="20" t="s">
        <v>10</v>
      </c>
      <c r="N90" s="20" t="s">
        <v>370</v>
      </c>
      <c r="O90" s="20" t="s">
        <v>372</v>
      </c>
      <c r="P90" s="46">
        <f t="shared" ref="P90:Q90" ca="1" si="219">(1-$C$5)*V90</f>
        <v>5.6159810064821389</v>
      </c>
      <c r="Q90" s="46">
        <f t="shared" ca="1" si="219"/>
        <v>1.0194324834095465</v>
      </c>
      <c r="R90" s="21">
        <f t="shared" si="3"/>
        <v>1000</v>
      </c>
      <c r="S90" s="128">
        <f t="shared" ref="S90:T90" ca="1" si="220">$R90*P90</f>
        <v>5615.9810064821386</v>
      </c>
      <c r="T90" s="128">
        <f t="shared" ca="1" si="220"/>
        <v>1019.4324834095465</v>
      </c>
      <c r="V90" s="75">
        <f ca="1"/>
        <v>5.6159810064821389</v>
      </c>
      <c r="W90" s="75">
        <f ca="1"/>
        <v>1.0194324834095465</v>
      </c>
      <c r="X90" s="21">
        <f ca="1">'res bld calcs'!G81-R90</f>
        <v>169526</v>
      </c>
      <c r="Y90" s="128">
        <f t="shared" ref="Y90:Z90" ca="1" si="221">$X90*V90</f>
        <v>952054.79610489111</v>
      </c>
      <c r="Z90" s="128">
        <f t="shared" ca="1" si="221"/>
        <v>172820.3111824868</v>
      </c>
    </row>
    <row r="91" spans="13:26" ht="13.2">
      <c r="M91" s="20" t="s">
        <v>10</v>
      </c>
      <c r="N91" s="20" t="s">
        <v>370</v>
      </c>
      <c r="O91" s="20" t="s">
        <v>374</v>
      </c>
      <c r="P91" s="46">
        <f t="shared" ref="P91:Q91" ca="1" si="222">(1-$C$5)*V91</f>
        <v>6.1384305583891079</v>
      </c>
      <c r="Q91" s="46">
        <f t="shared" ca="1" si="222"/>
        <v>0</v>
      </c>
      <c r="R91" s="21">
        <f t="shared" si="3"/>
        <v>1000</v>
      </c>
      <c r="S91" s="128">
        <f t="shared" ref="S91:T91" ca="1" si="223">$R91*P91</f>
        <v>6138.4305583891082</v>
      </c>
      <c r="T91" s="128">
        <f t="shared" ca="1" si="223"/>
        <v>0</v>
      </c>
      <c r="V91" s="75">
        <f ca="1"/>
        <v>6.1384305583891079</v>
      </c>
      <c r="W91" s="75">
        <f ca="1"/>
        <v>0</v>
      </c>
      <c r="X91" s="21">
        <f ca="1">'res bld calcs'!G82-R91</f>
        <v>169526</v>
      </c>
      <c r="Y91" s="128">
        <f t="shared" ref="Y91:Z91" ca="1" si="224">$X91*V91</f>
        <v>1040623.5788414719</v>
      </c>
      <c r="Z91" s="128">
        <f t="shared" ca="1" si="224"/>
        <v>0</v>
      </c>
    </row>
    <row r="92" spans="13:26" ht="13.2">
      <c r="M92" s="20" t="s">
        <v>10</v>
      </c>
      <c r="N92" s="20" t="s">
        <v>370</v>
      </c>
      <c r="O92" s="20" t="s">
        <v>375</v>
      </c>
      <c r="P92" s="46">
        <f t="shared" ref="P92:Q92" ca="1" si="225">(1-$C$5)*V92</f>
        <v>2.493806402119811</v>
      </c>
      <c r="Q92" s="46">
        <f t="shared" ca="1" si="225"/>
        <v>0</v>
      </c>
      <c r="R92" s="21">
        <f t="shared" si="3"/>
        <v>1000</v>
      </c>
      <c r="S92" s="128">
        <f t="shared" ref="S92:T92" ca="1" si="226">$R92*P92</f>
        <v>2493.8064021198111</v>
      </c>
      <c r="T92" s="128">
        <f t="shared" ca="1" si="226"/>
        <v>0</v>
      </c>
      <c r="V92" s="75">
        <f ca="1"/>
        <v>2.493806402119811</v>
      </c>
      <c r="W92" s="75">
        <f ca="1"/>
        <v>0</v>
      </c>
      <c r="X92" s="21">
        <f ca="1">'res bld calcs'!G83-R92</f>
        <v>169526</v>
      </c>
      <c r="Y92" s="128">
        <f t="shared" ref="Y92:Z92" ca="1" si="227">$X92*V92</f>
        <v>422765.0241257631</v>
      </c>
      <c r="Z92" s="128">
        <f t="shared" ca="1" si="227"/>
        <v>0</v>
      </c>
    </row>
    <row r="93" spans="13:26" ht="13.2">
      <c r="M93" s="20" t="s">
        <v>10</v>
      </c>
      <c r="N93" s="20" t="s">
        <v>370</v>
      </c>
      <c r="O93" s="20" t="s">
        <v>376</v>
      </c>
      <c r="P93" s="46">
        <f t="shared" ref="P93:Q93" ca="1" si="228">(1-$C$5)*V93</f>
        <v>4.6211702684695659</v>
      </c>
      <c r="Q93" s="46">
        <f t="shared" ca="1" si="228"/>
        <v>0</v>
      </c>
      <c r="R93" s="21">
        <f t="shared" si="3"/>
        <v>1000</v>
      </c>
      <c r="S93" s="128">
        <f t="shared" ref="S93:T93" ca="1" si="229">$R93*P93</f>
        <v>4621.1702684695656</v>
      </c>
      <c r="T93" s="128">
        <f t="shared" ca="1" si="229"/>
        <v>0</v>
      </c>
      <c r="V93" s="75">
        <f ca="1"/>
        <v>4.6211702684695659</v>
      </c>
      <c r="W93" s="75">
        <f ca="1"/>
        <v>0</v>
      </c>
      <c r="X93" s="21">
        <f ca="1">'res bld calcs'!G84-R93</f>
        <v>169526</v>
      </c>
      <c r="Y93" s="128">
        <f t="shared" ref="Y93:Z93" ca="1" si="230">$X93*V93</f>
        <v>783408.5109325716</v>
      </c>
      <c r="Z93" s="128">
        <f t="shared" ca="1" si="230"/>
        <v>0</v>
      </c>
    </row>
    <row r="94" spans="13:26" ht="13.2">
      <c r="M94" s="20" t="s">
        <v>10</v>
      </c>
      <c r="N94" s="20" t="s">
        <v>370</v>
      </c>
      <c r="O94" s="20" t="s">
        <v>377</v>
      </c>
      <c r="P94" s="46">
        <f ca="1">IF($C$6="Yes",((1-$C$4)*W94/$F$4)+V94,(1-$C$4)*V94)</f>
        <v>5.330407403124731</v>
      </c>
      <c r="Q94" s="46">
        <f ca="1">IF($C$6="Yes",0,(1-$C$4)*W94)</f>
        <v>21.749877468329224</v>
      </c>
      <c r="R94" s="21">
        <f t="shared" si="3"/>
        <v>1000</v>
      </c>
      <c r="S94" s="128">
        <f t="shared" ref="S94:T94" ca="1" si="231">$R94*P94</f>
        <v>5330.407403124731</v>
      </c>
      <c r="T94" s="128">
        <f t="shared" ca="1" si="231"/>
        <v>21749.877468329225</v>
      </c>
      <c r="V94" s="75">
        <f ca="1"/>
        <v>10.660814806249462</v>
      </c>
      <c r="W94" s="75">
        <f ca="1"/>
        <v>43.499754936658448</v>
      </c>
      <c r="X94" s="21">
        <f ca="1">'res bld calcs'!G85-R94</f>
        <v>169526</v>
      </c>
      <c r="Y94" s="128">
        <f t="shared" ref="Y94:Z94" ca="1" si="232">$X94*V94</f>
        <v>1807285.2908442463</v>
      </c>
      <c r="Z94" s="128">
        <f t="shared" ca="1" si="232"/>
        <v>7374339.4553919602</v>
      </c>
    </row>
    <row r="95" spans="13:26" ht="13.2">
      <c r="M95" s="20" t="s">
        <v>10</v>
      </c>
      <c r="N95" s="20" t="s">
        <v>370</v>
      </c>
      <c r="O95" s="20" t="s">
        <v>378</v>
      </c>
      <c r="P95" s="46">
        <f ca="1">IF($C$7="Yes",((1-$C$5)*W95/$F$4)+V95,(1-$C$5)*V95)</f>
        <v>2.3013202697375048</v>
      </c>
      <c r="Q95" s="46">
        <f ca="1">IF($C$7="Yes",0,(1-$C$5)*W95)</f>
        <v>5.82709392118994</v>
      </c>
      <c r="R95" s="21">
        <f t="shared" si="3"/>
        <v>1000</v>
      </c>
      <c r="S95" s="128">
        <f t="shared" ref="S95:T95" ca="1" si="233">$R95*P95</f>
        <v>2301.320269737505</v>
      </c>
      <c r="T95" s="128">
        <f t="shared" ca="1" si="233"/>
        <v>5827.0939211899404</v>
      </c>
      <c r="V95" s="75">
        <f ca="1"/>
        <v>2.3013202697375048</v>
      </c>
      <c r="W95" s="75">
        <f ca="1"/>
        <v>5.82709392118994</v>
      </c>
      <c r="X95" s="21">
        <f ca="1">'res bld calcs'!G86-R95</f>
        <v>169526</v>
      </c>
      <c r="Y95" s="128">
        <f t="shared" ref="Y95:Z95" ca="1" si="234">$X95*V95</f>
        <v>390133.62004752026</v>
      </c>
      <c r="Z95" s="128">
        <f t="shared" ca="1" si="234"/>
        <v>987843.9240836458</v>
      </c>
    </row>
    <row r="96" spans="13:26" ht="13.2">
      <c r="P96" s="46"/>
      <c r="Q96" s="46"/>
      <c r="S96" s="128"/>
      <c r="T96" s="128"/>
      <c r="V96" s="75">
        <v>0</v>
      </c>
      <c r="W96" s="75">
        <v>0</v>
      </c>
      <c r="X96" s="20">
        <f>'res bld calcs'!G87-R96</f>
        <v>0</v>
      </c>
      <c r="Y96" s="128">
        <f t="shared" ref="Y96:Z96" si="235">$X96*V96</f>
        <v>0</v>
      </c>
      <c r="Z96" s="128">
        <f t="shared" si="235"/>
        <v>0</v>
      </c>
    </row>
    <row r="97" spans="16:26" ht="13.2">
      <c r="P97" s="46"/>
      <c r="Q97" s="46"/>
      <c r="S97" s="128"/>
      <c r="T97" s="128"/>
      <c r="V97" s="75">
        <v>0</v>
      </c>
      <c r="W97" s="75">
        <v>0</v>
      </c>
      <c r="X97" s="20">
        <f>'res bld calcs'!G88-R97</f>
        <v>0</v>
      </c>
      <c r="Y97" s="128">
        <f t="shared" ref="Y97:Z97" si="236">$X97*V97</f>
        <v>0</v>
      </c>
      <c r="Z97" s="128">
        <f t="shared" si="236"/>
        <v>0</v>
      </c>
    </row>
    <row r="98" spans="16:26" ht="13.2">
      <c r="P98" s="46"/>
      <c r="Q98" s="46"/>
      <c r="S98" s="128"/>
      <c r="T98" s="128"/>
      <c r="V98" s="75">
        <v>0</v>
      </c>
      <c r="W98" s="75">
        <v>0</v>
      </c>
      <c r="X98" s="20">
        <f>'res bld calcs'!G89-R98</f>
        <v>0</v>
      </c>
      <c r="Y98" s="128">
        <f t="shared" ref="Y98:Z98" si="237">$X98*V98</f>
        <v>0</v>
      </c>
      <c r="Z98" s="128">
        <f t="shared" si="237"/>
        <v>0</v>
      </c>
    </row>
    <row r="99" spans="16:26" ht="13.2">
      <c r="P99" s="46"/>
      <c r="Q99" s="46"/>
      <c r="S99" s="128"/>
      <c r="T99" s="128"/>
      <c r="V99" s="75">
        <v>0</v>
      </c>
      <c r="W99" s="75">
        <v>0</v>
      </c>
      <c r="X99" s="20">
        <f>'res bld calcs'!G90-R99</f>
        <v>0</v>
      </c>
      <c r="Y99" s="128">
        <f t="shared" ref="Y99:Z99" si="238">$X99*V99</f>
        <v>0</v>
      </c>
      <c r="Z99" s="128">
        <f t="shared" si="238"/>
        <v>0</v>
      </c>
    </row>
    <row r="100" spans="16:26" ht="13.2">
      <c r="P100" s="46"/>
      <c r="Q100" s="46"/>
      <c r="S100" s="128"/>
      <c r="T100" s="128"/>
      <c r="V100" s="75">
        <v>0</v>
      </c>
      <c r="W100" s="75">
        <v>0</v>
      </c>
      <c r="X100" s="20">
        <f>'res bld calcs'!G91-R100</f>
        <v>0</v>
      </c>
      <c r="Y100" s="128">
        <f t="shared" ref="Y100:Z100" si="239">$X100*V100</f>
        <v>0</v>
      </c>
      <c r="Z100" s="128">
        <f t="shared" si="239"/>
        <v>0</v>
      </c>
    </row>
    <row r="101" spans="16:26" ht="13.2">
      <c r="P101" s="46"/>
      <c r="Q101" s="46"/>
      <c r="S101" s="128"/>
      <c r="T101" s="128"/>
      <c r="V101" s="75">
        <v>0</v>
      </c>
      <c r="W101" s="75">
        <v>0</v>
      </c>
      <c r="X101" s="20">
        <f>'res bld calcs'!G92-R101</f>
        <v>0</v>
      </c>
      <c r="Y101" s="128">
        <f t="shared" ref="Y101:Z101" si="240">$X101*V101</f>
        <v>0</v>
      </c>
      <c r="Z101" s="128">
        <f t="shared" si="240"/>
        <v>0</v>
      </c>
    </row>
    <row r="102" spans="16:26" ht="13.2">
      <c r="P102" s="46"/>
      <c r="Q102" s="46"/>
      <c r="S102" s="128"/>
      <c r="T102" s="128"/>
      <c r="V102" s="75">
        <v>0</v>
      </c>
      <c r="W102" s="75">
        <v>0</v>
      </c>
      <c r="X102" s="20">
        <f>'res bld calcs'!G93-R102</f>
        <v>0</v>
      </c>
      <c r="Y102" s="128">
        <f t="shared" ref="Y102:Z102" si="241">$X102*V102</f>
        <v>0</v>
      </c>
      <c r="Z102" s="128">
        <f t="shared" si="241"/>
        <v>0</v>
      </c>
    </row>
    <row r="103" spans="16:26" ht="13.2">
      <c r="P103" s="46"/>
      <c r="Q103" s="46"/>
      <c r="S103" s="128"/>
      <c r="T103" s="128"/>
      <c r="V103" s="75">
        <v>0</v>
      </c>
      <c r="W103" s="75">
        <v>0</v>
      </c>
      <c r="X103" s="20">
        <f>'res bld calcs'!G94-R103</f>
        <v>0</v>
      </c>
      <c r="Y103" s="128">
        <f t="shared" ref="Y103:Z103" si="242">$X103*V103</f>
        <v>0</v>
      </c>
      <c r="Z103" s="128">
        <f t="shared" si="242"/>
        <v>0</v>
      </c>
    </row>
    <row r="104" spans="16:26" ht="13.2">
      <c r="P104" s="46"/>
      <c r="Q104" s="46"/>
      <c r="S104" s="128"/>
      <c r="T104" s="128"/>
      <c r="V104" s="75">
        <v>0</v>
      </c>
      <c r="W104" s="75">
        <v>0</v>
      </c>
      <c r="X104" s="20">
        <f>'res bld calcs'!G95-R104</f>
        <v>0</v>
      </c>
      <c r="Y104" s="128">
        <f t="shared" ref="Y104:Z104" si="243">$X104*V104</f>
        <v>0</v>
      </c>
      <c r="Z104" s="128">
        <f t="shared" si="243"/>
        <v>0</v>
      </c>
    </row>
    <row r="105" spans="16:26" ht="13.2">
      <c r="P105" s="46"/>
      <c r="Q105" s="46"/>
      <c r="S105" s="128"/>
      <c r="T105" s="128"/>
      <c r="V105" s="75">
        <v>0</v>
      </c>
      <c r="W105" s="75">
        <v>0</v>
      </c>
      <c r="X105" s="20">
        <f>'res bld calcs'!G96-R105</f>
        <v>0</v>
      </c>
      <c r="Y105" s="128">
        <f t="shared" ref="Y105:Z105" si="244">$X105*V105</f>
        <v>0</v>
      </c>
      <c r="Z105" s="128">
        <f t="shared" si="244"/>
        <v>0</v>
      </c>
    </row>
    <row r="106" spans="16:26" ht="13.2">
      <c r="P106" s="46"/>
      <c r="Q106" s="46"/>
      <c r="S106" s="128"/>
      <c r="T106" s="128"/>
      <c r="V106" s="75">
        <v>0</v>
      </c>
      <c r="W106" s="75">
        <v>0</v>
      </c>
      <c r="X106" s="20">
        <f>'res bld calcs'!G97-R106</f>
        <v>0</v>
      </c>
      <c r="Y106" s="128">
        <f t="shared" ref="Y106:Z106" si="245">$X106*V106</f>
        <v>0</v>
      </c>
      <c r="Z106" s="128">
        <f t="shared" si="245"/>
        <v>0</v>
      </c>
    </row>
    <row r="107" spans="16:26" ht="13.2">
      <c r="P107" s="46"/>
      <c r="Q107" s="46"/>
      <c r="S107" s="128"/>
      <c r="T107" s="128"/>
      <c r="V107" s="75">
        <v>0</v>
      </c>
      <c r="W107" s="75">
        <v>0</v>
      </c>
      <c r="X107" s="20">
        <f>'res bld calcs'!G98-R107</f>
        <v>0</v>
      </c>
      <c r="Y107" s="128">
        <f t="shared" ref="Y107:Z107" si="246">$X107*V107</f>
        <v>0</v>
      </c>
      <c r="Z107" s="128">
        <f t="shared" si="246"/>
        <v>0</v>
      </c>
    </row>
    <row r="108" spans="16:26" ht="13.2">
      <c r="P108" s="46"/>
      <c r="Q108" s="46"/>
      <c r="S108" s="128"/>
      <c r="T108" s="128"/>
      <c r="V108" s="75">
        <v>0</v>
      </c>
      <c r="W108" s="75">
        <v>0</v>
      </c>
      <c r="X108" s="20">
        <f>'res bld calcs'!G99-R108</f>
        <v>0</v>
      </c>
      <c r="Y108" s="128">
        <f t="shared" ref="Y108:Z108" si="247">$X108*V108</f>
        <v>0</v>
      </c>
      <c r="Z108" s="128">
        <f t="shared" si="247"/>
        <v>0</v>
      </c>
    </row>
    <row r="109" spans="16:26" ht="13.2">
      <c r="P109" s="46"/>
      <c r="Q109" s="46"/>
      <c r="S109" s="128"/>
      <c r="T109" s="128"/>
      <c r="V109" s="75">
        <v>0</v>
      </c>
      <c r="W109" s="75">
        <v>0</v>
      </c>
      <c r="X109" s="20">
        <f>'res bld calcs'!G100-R109</f>
        <v>0</v>
      </c>
      <c r="Y109" s="128">
        <f t="shared" ref="Y109:Z109" si="248">$X109*V109</f>
        <v>0</v>
      </c>
      <c r="Z109" s="128">
        <f t="shared" si="248"/>
        <v>0</v>
      </c>
    </row>
    <row r="110" spans="16:26" ht="13.2">
      <c r="P110" s="46"/>
      <c r="Q110" s="46"/>
      <c r="S110" s="128"/>
      <c r="T110" s="128"/>
      <c r="V110" s="75">
        <v>0</v>
      </c>
      <c r="W110" s="75">
        <v>0</v>
      </c>
      <c r="X110" s="20">
        <f>'res bld calcs'!G101-R110</f>
        <v>0</v>
      </c>
      <c r="Y110" s="128">
        <f t="shared" ref="Y110:Z110" si="249">$X110*V110</f>
        <v>0</v>
      </c>
      <c r="Z110" s="128">
        <f t="shared" si="249"/>
        <v>0</v>
      </c>
    </row>
    <row r="111" spans="16:26" ht="13.2">
      <c r="P111" s="46"/>
      <c r="Q111" s="46"/>
      <c r="S111" s="128"/>
      <c r="T111" s="128"/>
      <c r="V111" s="75">
        <v>0</v>
      </c>
      <c r="W111" s="75">
        <v>0</v>
      </c>
      <c r="X111" s="20">
        <f>'res bld calcs'!G102-R111</f>
        <v>0</v>
      </c>
      <c r="Y111" s="128">
        <f t="shared" ref="Y111:Z111" si="250">$X111*V111</f>
        <v>0</v>
      </c>
      <c r="Z111" s="128">
        <f t="shared" si="250"/>
        <v>0</v>
      </c>
    </row>
    <row r="112" spans="16:26" ht="13.2">
      <c r="P112" s="46"/>
      <c r="Q112" s="46"/>
      <c r="S112" s="128"/>
      <c r="T112" s="128"/>
      <c r="V112" s="75">
        <v>0</v>
      </c>
      <c r="W112" s="75">
        <v>0</v>
      </c>
      <c r="X112" s="20">
        <f>'res bld calcs'!G103-R112</f>
        <v>0</v>
      </c>
      <c r="Y112" s="128">
        <f t="shared" ref="Y112:Z112" si="251">$X112*V112</f>
        <v>0</v>
      </c>
      <c r="Z112" s="128">
        <f t="shared" si="251"/>
        <v>0</v>
      </c>
    </row>
    <row r="113" spans="16:26" ht="13.2">
      <c r="P113" s="46"/>
      <c r="Q113" s="46"/>
      <c r="S113" s="128"/>
      <c r="T113" s="128"/>
      <c r="V113" s="75">
        <v>0</v>
      </c>
      <c r="W113" s="75">
        <v>0</v>
      </c>
      <c r="X113" s="20">
        <f>'res bld calcs'!G104-R113</f>
        <v>0</v>
      </c>
      <c r="Y113" s="128">
        <f t="shared" ref="Y113:Z113" si="252">$X113*V113</f>
        <v>0</v>
      </c>
      <c r="Z113" s="128">
        <f t="shared" si="252"/>
        <v>0</v>
      </c>
    </row>
    <row r="114" spans="16:26" ht="13.2">
      <c r="P114" s="46"/>
      <c r="Q114" s="46"/>
      <c r="S114" s="128"/>
      <c r="T114" s="128"/>
      <c r="V114" s="75">
        <v>0</v>
      </c>
      <c r="W114" s="75">
        <v>0</v>
      </c>
      <c r="X114" s="20">
        <f>'res bld calcs'!G105-R114</f>
        <v>0</v>
      </c>
      <c r="Y114" s="128">
        <f t="shared" ref="Y114:Z114" si="253">$X114*V114</f>
        <v>0</v>
      </c>
      <c r="Z114" s="128">
        <f t="shared" si="253"/>
        <v>0</v>
      </c>
    </row>
    <row r="115" spans="16:26" ht="13.2">
      <c r="P115" s="46"/>
      <c r="Q115" s="46"/>
      <c r="S115" s="128"/>
      <c r="T115" s="128"/>
      <c r="V115" s="75">
        <v>0</v>
      </c>
      <c r="W115" s="75">
        <v>0</v>
      </c>
      <c r="X115" s="20">
        <f>'res bld calcs'!G106-R115</f>
        <v>0</v>
      </c>
      <c r="Y115" s="128">
        <f t="shared" ref="Y115:Z115" si="254">$X115*V115</f>
        <v>0</v>
      </c>
      <c r="Z115" s="128">
        <f t="shared" si="254"/>
        <v>0</v>
      </c>
    </row>
    <row r="116" spans="16:26" ht="13.2">
      <c r="P116" s="46"/>
      <c r="Q116" s="46"/>
      <c r="S116" s="128"/>
      <c r="T116" s="128"/>
      <c r="V116" s="75">
        <v>0</v>
      </c>
      <c r="W116" s="75">
        <v>0</v>
      </c>
      <c r="X116" s="20">
        <f>'res bld calcs'!G107-R116</f>
        <v>0</v>
      </c>
      <c r="Y116" s="128">
        <f t="shared" ref="Y116:Z116" si="255">$X116*V116</f>
        <v>0</v>
      </c>
      <c r="Z116" s="128">
        <f t="shared" si="255"/>
        <v>0</v>
      </c>
    </row>
    <row r="117" spans="16:26" ht="13.2">
      <c r="P117" s="46"/>
      <c r="Q117" s="46"/>
      <c r="S117" s="128"/>
      <c r="T117" s="128"/>
      <c r="V117" s="75">
        <v>0</v>
      </c>
      <c r="W117" s="75">
        <v>0</v>
      </c>
      <c r="X117" s="20">
        <f>'res bld calcs'!G108-R117</f>
        <v>0</v>
      </c>
      <c r="Y117" s="128">
        <f t="shared" ref="Y117:Z117" si="256">$X117*V117</f>
        <v>0</v>
      </c>
      <c r="Z117" s="128">
        <f t="shared" si="256"/>
        <v>0</v>
      </c>
    </row>
    <row r="118" spans="16:26" ht="13.2">
      <c r="P118" s="46"/>
      <c r="Q118" s="46"/>
      <c r="S118" s="128"/>
      <c r="T118" s="128"/>
      <c r="V118" s="75">
        <v>0</v>
      </c>
      <c r="W118" s="75">
        <v>0</v>
      </c>
      <c r="X118" s="20">
        <f>'res bld calcs'!G109-R118</f>
        <v>0</v>
      </c>
      <c r="Y118" s="128">
        <f t="shared" ref="Y118:Z118" si="257">$X118*V118</f>
        <v>0</v>
      </c>
      <c r="Z118" s="128">
        <f t="shared" si="257"/>
        <v>0</v>
      </c>
    </row>
    <row r="119" spans="16:26" ht="13.2">
      <c r="P119" s="46"/>
      <c r="Q119" s="46"/>
      <c r="S119" s="128"/>
      <c r="T119" s="128"/>
      <c r="V119" s="75">
        <v>0</v>
      </c>
      <c r="W119" s="75">
        <v>0</v>
      </c>
      <c r="X119" s="20">
        <f>'res bld calcs'!G110-R119</f>
        <v>0</v>
      </c>
      <c r="Y119" s="128">
        <f t="shared" ref="Y119:Z119" si="258">$X119*V119</f>
        <v>0</v>
      </c>
      <c r="Z119" s="128">
        <f t="shared" si="258"/>
        <v>0</v>
      </c>
    </row>
    <row r="120" spans="16:26" ht="13.2">
      <c r="P120" s="46"/>
      <c r="Q120" s="46"/>
      <c r="S120" s="128"/>
      <c r="T120" s="128"/>
      <c r="V120" s="75">
        <v>0</v>
      </c>
      <c r="W120" s="75">
        <v>0</v>
      </c>
      <c r="X120" s="20">
        <f>'res bld calcs'!G111-R120</f>
        <v>0</v>
      </c>
      <c r="Y120" s="128">
        <f t="shared" ref="Y120:Z120" si="259">$X120*V120</f>
        <v>0</v>
      </c>
      <c r="Z120" s="128">
        <f t="shared" si="259"/>
        <v>0</v>
      </c>
    </row>
    <row r="121" spans="16:26" ht="13.2">
      <c r="P121" s="46"/>
      <c r="Q121" s="46"/>
      <c r="S121" s="128"/>
      <c r="T121" s="128"/>
      <c r="V121" s="75">
        <v>0</v>
      </c>
      <c r="W121" s="75">
        <v>0</v>
      </c>
      <c r="X121" s="20">
        <f>'res bld calcs'!G112-R121</f>
        <v>0</v>
      </c>
      <c r="Y121" s="128">
        <f t="shared" ref="Y121:Z121" si="260">$X121*V121</f>
        <v>0</v>
      </c>
      <c r="Z121" s="128">
        <f t="shared" si="260"/>
        <v>0</v>
      </c>
    </row>
    <row r="122" spans="16:26" ht="13.2">
      <c r="P122" s="46"/>
      <c r="Q122" s="46"/>
      <c r="S122" s="128"/>
      <c r="T122" s="128"/>
      <c r="V122" s="75">
        <v>0</v>
      </c>
      <c r="W122" s="75">
        <v>0</v>
      </c>
      <c r="X122" s="20">
        <f>'res bld calcs'!G113-R122</f>
        <v>0</v>
      </c>
      <c r="Y122" s="128">
        <f t="shared" ref="Y122:Z122" si="261">$X122*V122</f>
        <v>0</v>
      </c>
      <c r="Z122" s="128">
        <f t="shared" si="261"/>
        <v>0</v>
      </c>
    </row>
    <row r="123" spans="16:26" ht="13.2">
      <c r="P123" s="46"/>
      <c r="Q123" s="46"/>
      <c r="S123" s="128"/>
      <c r="T123" s="128"/>
      <c r="V123" s="75">
        <v>0</v>
      </c>
      <c r="W123" s="75">
        <v>0</v>
      </c>
      <c r="X123" s="20">
        <f>'res bld calcs'!G114-R123</f>
        <v>0</v>
      </c>
      <c r="Y123" s="128">
        <f t="shared" ref="Y123:Z123" si="262">$X123*V123</f>
        <v>0</v>
      </c>
      <c r="Z123" s="128">
        <f t="shared" si="262"/>
        <v>0</v>
      </c>
    </row>
    <row r="124" spans="16:26" ht="13.2">
      <c r="P124" s="46"/>
      <c r="Q124" s="46"/>
      <c r="S124" s="128"/>
      <c r="T124" s="128"/>
      <c r="V124" s="75">
        <v>0</v>
      </c>
      <c r="W124" s="75">
        <v>0</v>
      </c>
      <c r="X124" s="20">
        <f>'res bld calcs'!G115-R124</f>
        <v>0</v>
      </c>
      <c r="Y124" s="128">
        <f t="shared" ref="Y124:Z124" si="263">$X124*V124</f>
        <v>0</v>
      </c>
      <c r="Z124" s="128">
        <f t="shared" si="263"/>
        <v>0</v>
      </c>
    </row>
    <row r="125" spans="16:26" ht="13.2">
      <c r="P125" s="46"/>
      <c r="Q125" s="46"/>
      <c r="S125" s="128"/>
      <c r="T125" s="128"/>
      <c r="V125" s="75">
        <v>0</v>
      </c>
      <c r="W125" s="75">
        <v>0</v>
      </c>
      <c r="X125" s="20">
        <f>'res bld calcs'!G116-R125</f>
        <v>0</v>
      </c>
      <c r="Y125" s="128">
        <f t="shared" ref="Y125:Z125" si="264">$X125*V125</f>
        <v>0</v>
      </c>
      <c r="Z125" s="128">
        <f t="shared" si="264"/>
        <v>0</v>
      </c>
    </row>
    <row r="126" spans="16:26" ht="13.2">
      <c r="P126" s="46"/>
      <c r="Q126" s="46"/>
      <c r="S126" s="128"/>
      <c r="T126" s="128"/>
      <c r="V126" s="75">
        <v>0</v>
      </c>
      <c r="W126" s="75">
        <v>0</v>
      </c>
      <c r="X126" s="20">
        <f>'res bld calcs'!G117-R126</f>
        <v>0</v>
      </c>
      <c r="Y126" s="128">
        <f t="shared" ref="Y126:Z126" si="265">$X126*V126</f>
        <v>0</v>
      </c>
      <c r="Z126" s="128">
        <f t="shared" si="265"/>
        <v>0</v>
      </c>
    </row>
    <row r="127" spans="16:26" ht="13.2">
      <c r="P127" s="46"/>
      <c r="Q127" s="46"/>
      <c r="S127" s="128"/>
      <c r="T127" s="128"/>
      <c r="V127" s="75">
        <v>0</v>
      </c>
      <c r="W127" s="75">
        <v>0</v>
      </c>
      <c r="X127" s="20">
        <f>'res bld calcs'!G118-R127</f>
        <v>0</v>
      </c>
      <c r="Y127" s="128">
        <f t="shared" ref="Y127:Z127" si="266">$X127*V127</f>
        <v>0</v>
      </c>
      <c r="Z127" s="128">
        <f t="shared" si="266"/>
        <v>0</v>
      </c>
    </row>
    <row r="128" spans="16:26" ht="13.2">
      <c r="P128" s="46"/>
      <c r="Q128" s="46"/>
      <c r="S128" s="128"/>
      <c r="T128" s="128"/>
      <c r="V128" s="75">
        <v>0</v>
      </c>
      <c r="W128" s="75">
        <v>0</v>
      </c>
      <c r="X128" s="20">
        <f>'res bld calcs'!G119-R128</f>
        <v>0</v>
      </c>
      <c r="Y128" s="128">
        <f t="shared" ref="Y128:Z128" si="267">$X128*V128</f>
        <v>0</v>
      </c>
      <c r="Z128" s="128">
        <f t="shared" si="267"/>
        <v>0</v>
      </c>
    </row>
    <row r="129" spans="16:26" ht="13.2">
      <c r="P129" s="46"/>
      <c r="Q129" s="46"/>
      <c r="S129" s="128"/>
      <c r="T129" s="128"/>
      <c r="V129" s="75">
        <v>0</v>
      </c>
      <c r="W129" s="75">
        <v>0</v>
      </c>
      <c r="X129" s="20">
        <f>'res bld calcs'!G120-R129</f>
        <v>0</v>
      </c>
      <c r="Y129" s="128">
        <f t="shared" ref="Y129:Z129" si="268">$X129*V129</f>
        <v>0</v>
      </c>
      <c r="Z129" s="128">
        <f t="shared" si="268"/>
        <v>0</v>
      </c>
    </row>
    <row r="130" spans="16:26" ht="13.2">
      <c r="P130" s="46"/>
      <c r="Q130" s="46"/>
      <c r="S130" s="128"/>
      <c r="T130" s="128"/>
      <c r="V130" s="75">
        <v>0</v>
      </c>
      <c r="W130" s="75">
        <v>0</v>
      </c>
      <c r="X130" s="20">
        <f>'res bld calcs'!G121-R130</f>
        <v>0</v>
      </c>
      <c r="Y130" s="128">
        <f t="shared" ref="Y130:Z130" si="269">$X130*V130</f>
        <v>0</v>
      </c>
      <c r="Z130" s="128">
        <f t="shared" si="269"/>
        <v>0</v>
      </c>
    </row>
    <row r="131" spans="16:26" ht="13.2">
      <c r="P131" s="46"/>
      <c r="Q131" s="46"/>
      <c r="S131" s="128"/>
      <c r="T131" s="128"/>
      <c r="V131" s="75">
        <v>0</v>
      </c>
      <c r="W131" s="75">
        <v>0</v>
      </c>
      <c r="X131" s="20">
        <f>'res bld calcs'!G122-R131</f>
        <v>0</v>
      </c>
      <c r="Y131" s="128">
        <f t="shared" ref="Y131:Z131" si="270">$X131*V131</f>
        <v>0</v>
      </c>
      <c r="Z131" s="128">
        <f t="shared" si="270"/>
        <v>0</v>
      </c>
    </row>
    <row r="132" spans="16:26" ht="13.2">
      <c r="P132" s="46"/>
      <c r="Q132" s="46"/>
      <c r="S132" s="128"/>
      <c r="T132" s="128"/>
      <c r="V132" s="75">
        <v>0</v>
      </c>
      <c r="W132" s="75">
        <v>0</v>
      </c>
      <c r="X132" s="20">
        <f>'res bld calcs'!G123-R132</f>
        <v>0</v>
      </c>
      <c r="Y132" s="128">
        <f t="shared" ref="Y132:Z132" si="271">$X132*V132</f>
        <v>0</v>
      </c>
      <c r="Z132" s="128">
        <f t="shared" si="271"/>
        <v>0</v>
      </c>
    </row>
    <row r="133" spans="16:26" ht="13.2">
      <c r="P133" s="46"/>
      <c r="Q133" s="46"/>
      <c r="S133" s="128"/>
      <c r="T133" s="128"/>
      <c r="V133" s="75">
        <v>0</v>
      </c>
      <c r="W133" s="75">
        <v>0</v>
      </c>
      <c r="X133" s="20">
        <f>'res bld calcs'!G124-R133</f>
        <v>0</v>
      </c>
      <c r="Y133" s="128">
        <f t="shared" ref="Y133:Z133" si="272">$X133*V133</f>
        <v>0</v>
      </c>
      <c r="Z133" s="128">
        <f t="shared" si="272"/>
        <v>0</v>
      </c>
    </row>
    <row r="134" spans="16:26" ht="13.2">
      <c r="P134" s="46"/>
      <c r="Q134" s="46"/>
      <c r="S134" s="128"/>
      <c r="T134" s="128"/>
      <c r="V134" s="75">
        <v>0</v>
      </c>
      <c r="W134" s="75">
        <v>0</v>
      </c>
      <c r="X134" s="20">
        <f>'res bld calcs'!G125-R134</f>
        <v>0</v>
      </c>
      <c r="Y134" s="128">
        <f t="shared" ref="Y134:Z134" si="273">$X134*V134</f>
        <v>0</v>
      </c>
      <c r="Z134" s="128">
        <f t="shared" si="273"/>
        <v>0</v>
      </c>
    </row>
    <row r="135" spans="16:26" ht="13.2">
      <c r="P135" s="46"/>
      <c r="Q135" s="46"/>
      <c r="S135" s="128"/>
      <c r="T135" s="128"/>
      <c r="V135" s="75">
        <v>0</v>
      </c>
      <c r="W135" s="75">
        <v>0</v>
      </c>
      <c r="X135" s="20">
        <f>'res bld calcs'!G126-R135</f>
        <v>0</v>
      </c>
      <c r="Y135" s="128">
        <f t="shared" ref="Y135:Z135" si="274">$X135*V135</f>
        <v>0</v>
      </c>
      <c r="Z135" s="128">
        <f t="shared" si="274"/>
        <v>0</v>
      </c>
    </row>
    <row r="136" spans="16:26" ht="13.2">
      <c r="P136" s="46"/>
      <c r="Q136" s="46"/>
      <c r="S136" s="128"/>
      <c r="T136" s="128"/>
      <c r="V136" s="75">
        <v>0</v>
      </c>
      <c r="W136" s="75">
        <v>0</v>
      </c>
      <c r="X136" s="20">
        <f>'res bld calcs'!G127-R136</f>
        <v>0</v>
      </c>
      <c r="Y136" s="128">
        <f t="shared" ref="Y136:Z136" si="275">$X136*V136</f>
        <v>0</v>
      </c>
      <c r="Z136" s="128">
        <f t="shared" si="275"/>
        <v>0</v>
      </c>
    </row>
    <row r="137" spans="16:26" ht="13.2">
      <c r="P137" s="46"/>
      <c r="Q137" s="46"/>
      <c r="S137" s="128"/>
      <c r="T137" s="128"/>
      <c r="V137" s="75">
        <v>0</v>
      </c>
      <c r="W137" s="75">
        <v>0</v>
      </c>
      <c r="X137" s="20">
        <f>'res bld calcs'!G128-R137</f>
        <v>0</v>
      </c>
      <c r="Y137" s="128">
        <f t="shared" ref="Y137:Z137" si="276">$X137*V137</f>
        <v>0</v>
      </c>
      <c r="Z137" s="128">
        <f t="shared" si="276"/>
        <v>0</v>
      </c>
    </row>
    <row r="138" spans="16:26" ht="13.2">
      <c r="P138" s="46"/>
      <c r="Q138" s="46"/>
      <c r="S138" s="128"/>
      <c r="T138" s="128"/>
      <c r="V138" s="75">
        <v>0</v>
      </c>
      <c r="W138" s="75">
        <v>0</v>
      </c>
      <c r="X138" s="20">
        <f>'res bld calcs'!G129-R138</f>
        <v>0</v>
      </c>
      <c r="Y138" s="128">
        <f t="shared" ref="Y138:Z138" si="277">$X138*V138</f>
        <v>0</v>
      </c>
      <c r="Z138" s="128">
        <f t="shared" si="277"/>
        <v>0</v>
      </c>
    </row>
    <row r="139" spans="16:26" ht="13.2">
      <c r="P139" s="46"/>
      <c r="Q139" s="46"/>
      <c r="S139" s="128"/>
      <c r="T139" s="128"/>
      <c r="V139" s="75">
        <v>0</v>
      </c>
      <c r="W139" s="75">
        <v>0</v>
      </c>
      <c r="X139" s="20">
        <f>'res bld calcs'!G130-R139</f>
        <v>0</v>
      </c>
      <c r="Y139" s="128">
        <f t="shared" ref="Y139:Z139" si="278">$X139*V139</f>
        <v>0</v>
      </c>
      <c r="Z139" s="128">
        <f t="shared" si="278"/>
        <v>0</v>
      </c>
    </row>
    <row r="140" spans="16:26" ht="13.2">
      <c r="P140" s="46"/>
      <c r="Q140" s="46"/>
      <c r="S140" s="128"/>
      <c r="T140" s="128"/>
      <c r="V140" s="75">
        <v>0</v>
      </c>
      <c r="W140" s="75">
        <v>0</v>
      </c>
      <c r="X140" s="20">
        <f>'res bld calcs'!G131-R140</f>
        <v>0</v>
      </c>
      <c r="Y140" s="128">
        <f t="shared" ref="Y140:Z140" si="279">$X140*V140</f>
        <v>0</v>
      </c>
      <c r="Z140" s="128">
        <f t="shared" si="279"/>
        <v>0</v>
      </c>
    </row>
    <row r="141" spans="16:26" ht="13.2">
      <c r="P141" s="46"/>
      <c r="Q141" s="46"/>
      <c r="S141" s="128"/>
      <c r="T141" s="128"/>
      <c r="V141" s="75">
        <v>0</v>
      </c>
      <c r="W141" s="75">
        <v>0</v>
      </c>
      <c r="X141" s="20">
        <f>'res bld calcs'!G132-R141</f>
        <v>0</v>
      </c>
      <c r="Y141" s="128">
        <f t="shared" ref="Y141:Z141" si="280">$X141*V141</f>
        <v>0</v>
      </c>
      <c r="Z141" s="128">
        <f t="shared" si="280"/>
        <v>0</v>
      </c>
    </row>
    <row r="142" spans="16:26" ht="13.2">
      <c r="P142" s="46"/>
      <c r="Q142" s="46"/>
      <c r="S142" s="128"/>
      <c r="T142" s="128"/>
      <c r="V142" s="75">
        <v>0</v>
      </c>
      <c r="W142" s="75">
        <v>0</v>
      </c>
      <c r="X142" s="20">
        <f>'res bld calcs'!G133-R142</f>
        <v>0</v>
      </c>
      <c r="Y142" s="128">
        <f t="shared" ref="Y142:Z142" si="281">$X142*V142</f>
        <v>0</v>
      </c>
      <c r="Z142" s="128">
        <f t="shared" si="281"/>
        <v>0</v>
      </c>
    </row>
    <row r="143" spans="16:26" ht="13.2">
      <c r="P143" s="46"/>
      <c r="Q143" s="46"/>
      <c r="S143" s="128"/>
      <c r="T143" s="128"/>
      <c r="V143" s="75">
        <v>0</v>
      </c>
      <c r="W143" s="75">
        <v>0</v>
      </c>
      <c r="X143" s="20">
        <f>'res bld calcs'!G134-R143</f>
        <v>0</v>
      </c>
      <c r="Y143" s="128">
        <f t="shared" ref="Y143:Z143" si="282">$X143*V143</f>
        <v>0</v>
      </c>
      <c r="Z143" s="128">
        <f t="shared" si="282"/>
        <v>0</v>
      </c>
    </row>
    <row r="144" spans="16:26" ht="13.2">
      <c r="P144" s="46"/>
      <c r="Q144" s="46"/>
      <c r="S144" s="128"/>
      <c r="T144" s="128"/>
      <c r="V144" s="75">
        <v>0</v>
      </c>
      <c r="W144" s="75">
        <v>0</v>
      </c>
      <c r="X144" s="20">
        <f>'res bld calcs'!G135-R144</f>
        <v>0</v>
      </c>
      <c r="Y144" s="128">
        <f t="shared" ref="Y144:Z144" si="283">$X144*V144</f>
        <v>0</v>
      </c>
      <c r="Z144" s="128">
        <f t="shared" si="283"/>
        <v>0</v>
      </c>
    </row>
    <row r="145" spans="16:26" ht="13.2">
      <c r="P145" s="46"/>
      <c r="Q145" s="46"/>
      <c r="S145" s="128"/>
      <c r="T145" s="128"/>
      <c r="V145" s="75">
        <v>0</v>
      </c>
      <c r="W145" s="75">
        <v>0</v>
      </c>
      <c r="X145" s="20">
        <f>'res bld calcs'!G136-R145</f>
        <v>0</v>
      </c>
      <c r="Y145" s="128">
        <f t="shared" ref="Y145:Z145" si="284">$X145*V145</f>
        <v>0</v>
      </c>
      <c r="Z145" s="128">
        <f t="shared" si="284"/>
        <v>0</v>
      </c>
    </row>
    <row r="146" spans="16:26" ht="13.2">
      <c r="P146" s="46"/>
      <c r="Q146" s="46"/>
      <c r="S146" s="128"/>
      <c r="T146" s="128"/>
      <c r="V146" s="75">
        <v>0</v>
      </c>
      <c r="W146" s="75">
        <v>0</v>
      </c>
      <c r="X146" s="20">
        <f>'res bld calcs'!G137-R146</f>
        <v>0</v>
      </c>
      <c r="Y146" s="128">
        <f t="shared" ref="Y146:Z146" si="285">$X146*V146</f>
        <v>0</v>
      </c>
      <c r="Z146" s="128">
        <f t="shared" si="285"/>
        <v>0</v>
      </c>
    </row>
    <row r="147" spans="16:26" ht="13.2">
      <c r="P147" s="46"/>
      <c r="Q147" s="46"/>
      <c r="S147" s="128"/>
      <c r="T147" s="128"/>
      <c r="V147" s="75">
        <v>0</v>
      </c>
      <c r="W147" s="75">
        <v>0</v>
      </c>
      <c r="X147" s="20">
        <f>'res bld calcs'!G138-R147</f>
        <v>0</v>
      </c>
      <c r="Y147" s="128">
        <f t="shared" ref="Y147:Z147" si="286">$X147*V147</f>
        <v>0</v>
      </c>
      <c r="Z147" s="128">
        <f t="shared" si="286"/>
        <v>0</v>
      </c>
    </row>
    <row r="148" spans="16:26" ht="13.2">
      <c r="P148" s="46"/>
      <c r="Q148" s="46"/>
      <c r="S148" s="128"/>
      <c r="T148" s="128"/>
      <c r="V148" s="75">
        <v>0</v>
      </c>
      <c r="W148" s="75">
        <v>0</v>
      </c>
      <c r="X148" s="20">
        <f>'res bld calcs'!G139-R148</f>
        <v>0</v>
      </c>
      <c r="Y148" s="128">
        <f t="shared" ref="Y148:Z148" si="287">$X148*V148</f>
        <v>0</v>
      </c>
      <c r="Z148" s="128">
        <f t="shared" si="287"/>
        <v>0</v>
      </c>
    </row>
    <row r="149" spans="16:26" ht="13.2">
      <c r="P149" s="46"/>
      <c r="Q149" s="46"/>
      <c r="S149" s="128"/>
      <c r="T149" s="128"/>
      <c r="V149" s="75">
        <v>0</v>
      </c>
      <c r="W149" s="75">
        <v>0</v>
      </c>
      <c r="X149" s="20">
        <f>'res bld calcs'!G140-R149</f>
        <v>0</v>
      </c>
      <c r="Y149" s="128">
        <f t="shared" ref="Y149:Z149" si="288">$X149*V149</f>
        <v>0</v>
      </c>
      <c r="Z149" s="128">
        <f t="shared" si="288"/>
        <v>0</v>
      </c>
    </row>
    <row r="150" spans="16:26" ht="13.2">
      <c r="P150" s="46"/>
      <c r="Q150" s="46"/>
      <c r="S150" s="128"/>
      <c r="T150" s="128"/>
      <c r="V150" s="75">
        <v>0</v>
      </c>
      <c r="W150" s="75">
        <v>0</v>
      </c>
      <c r="X150" s="20">
        <f>'res bld calcs'!G141-R150</f>
        <v>0</v>
      </c>
      <c r="Y150" s="128">
        <f t="shared" ref="Y150:Z150" si="289">$X150*V150</f>
        <v>0</v>
      </c>
      <c r="Z150" s="128">
        <f t="shared" si="289"/>
        <v>0</v>
      </c>
    </row>
    <row r="151" spans="16:26" ht="13.2">
      <c r="P151" s="46"/>
      <c r="Q151" s="46"/>
      <c r="S151" s="128"/>
      <c r="T151" s="128"/>
      <c r="V151" s="75">
        <v>0</v>
      </c>
      <c r="W151" s="75">
        <v>0</v>
      </c>
      <c r="X151" s="20">
        <f>'res bld calcs'!G142-R151</f>
        <v>0</v>
      </c>
      <c r="Y151" s="128">
        <f t="shared" ref="Y151:Z151" si="290">$X151*V151</f>
        <v>0</v>
      </c>
      <c r="Z151" s="128">
        <f t="shared" si="290"/>
        <v>0</v>
      </c>
    </row>
    <row r="152" spans="16:26" ht="13.2">
      <c r="P152" s="46"/>
      <c r="Q152" s="46"/>
      <c r="S152" s="128"/>
      <c r="T152" s="128"/>
      <c r="V152" s="75">
        <v>0</v>
      </c>
      <c r="W152" s="75">
        <v>0</v>
      </c>
      <c r="X152" s="20">
        <f>'res bld calcs'!G143-R152</f>
        <v>0</v>
      </c>
      <c r="Y152" s="128">
        <f t="shared" ref="Y152:Z152" si="291">$X152*V152</f>
        <v>0</v>
      </c>
      <c r="Z152" s="128">
        <f t="shared" si="291"/>
        <v>0</v>
      </c>
    </row>
    <row r="153" spans="16:26" ht="13.2">
      <c r="P153" s="46"/>
      <c r="Q153" s="46"/>
      <c r="S153" s="128"/>
      <c r="T153" s="128"/>
      <c r="V153" s="75">
        <v>0</v>
      </c>
      <c r="W153" s="75">
        <v>0</v>
      </c>
      <c r="X153" s="20">
        <f>'res bld calcs'!G144-R153</f>
        <v>0</v>
      </c>
      <c r="Y153" s="128">
        <f t="shared" ref="Y153:Z153" si="292">$X153*V153</f>
        <v>0</v>
      </c>
      <c r="Z153" s="128">
        <f t="shared" si="292"/>
        <v>0</v>
      </c>
    </row>
    <row r="154" spans="16:26" ht="13.2">
      <c r="P154" s="46"/>
      <c r="Q154" s="46"/>
      <c r="S154" s="128"/>
      <c r="T154" s="128"/>
      <c r="V154" s="75">
        <v>0</v>
      </c>
      <c r="W154" s="75">
        <v>0</v>
      </c>
      <c r="X154" s="20">
        <f>'res bld calcs'!G145-R154</f>
        <v>0</v>
      </c>
      <c r="Y154" s="128">
        <f t="shared" ref="Y154:Z154" si="293">$X154*V154</f>
        <v>0</v>
      </c>
      <c r="Z154" s="128">
        <f t="shared" si="293"/>
        <v>0</v>
      </c>
    </row>
    <row r="155" spans="16:26" ht="13.2">
      <c r="P155" s="46"/>
      <c r="Q155" s="46"/>
      <c r="S155" s="128"/>
      <c r="T155" s="128"/>
      <c r="V155" s="75">
        <v>0</v>
      </c>
      <c r="W155" s="75">
        <v>0</v>
      </c>
      <c r="X155" s="20">
        <f>'res bld calcs'!G146-R155</f>
        <v>0</v>
      </c>
      <c r="Y155" s="128">
        <f t="shared" ref="Y155:Z155" si="294">$X155*V155</f>
        <v>0</v>
      </c>
      <c r="Z155" s="128">
        <f t="shared" si="294"/>
        <v>0</v>
      </c>
    </row>
    <row r="156" spans="16:26" ht="13.2">
      <c r="P156" s="46"/>
      <c r="Q156" s="46"/>
      <c r="S156" s="128"/>
      <c r="T156" s="128"/>
      <c r="V156" s="75">
        <v>0</v>
      </c>
      <c r="W156" s="75">
        <v>0</v>
      </c>
      <c r="X156" s="20">
        <f>'res bld calcs'!G147-R156</f>
        <v>0</v>
      </c>
      <c r="Y156" s="128">
        <f t="shared" ref="Y156:Z156" si="295">$X156*V156</f>
        <v>0</v>
      </c>
      <c r="Z156" s="128">
        <f t="shared" si="295"/>
        <v>0</v>
      </c>
    </row>
    <row r="157" spans="16:26" ht="13.2">
      <c r="P157" s="46"/>
      <c r="Q157" s="46"/>
      <c r="S157" s="128"/>
      <c r="T157" s="128"/>
      <c r="V157" s="75">
        <v>0</v>
      </c>
      <c r="W157" s="75">
        <v>0</v>
      </c>
      <c r="X157" s="20">
        <f>'res bld calcs'!G148-R157</f>
        <v>0</v>
      </c>
      <c r="Y157" s="128">
        <f t="shared" ref="Y157:Z157" si="296">$X157*V157</f>
        <v>0</v>
      </c>
      <c r="Z157" s="128">
        <f t="shared" si="296"/>
        <v>0</v>
      </c>
    </row>
    <row r="158" spans="16:26" ht="13.2">
      <c r="P158" s="46"/>
      <c r="Q158" s="46"/>
      <c r="S158" s="128"/>
      <c r="T158" s="128"/>
      <c r="V158" s="75">
        <v>0</v>
      </c>
      <c r="W158" s="75">
        <v>0</v>
      </c>
      <c r="X158" s="20">
        <f>'res bld calcs'!G149-R158</f>
        <v>0</v>
      </c>
      <c r="Y158" s="128">
        <f t="shared" ref="Y158:Z158" si="297">$X158*V158</f>
        <v>0</v>
      </c>
      <c r="Z158" s="128">
        <f t="shared" si="297"/>
        <v>0</v>
      </c>
    </row>
    <row r="159" spans="16:26" ht="13.2">
      <c r="P159" s="46"/>
      <c r="Q159" s="46"/>
      <c r="S159" s="128"/>
      <c r="T159" s="128"/>
      <c r="V159" s="75">
        <v>0</v>
      </c>
      <c r="W159" s="75">
        <v>0</v>
      </c>
      <c r="X159" s="20">
        <f>'res bld calcs'!G150-R159</f>
        <v>0</v>
      </c>
      <c r="Y159" s="128">
        <f t="shared" ref="Y159:Z159" si="298">$X159*V159</f>
        <v>0</v>
      </c>
      <c r="Z159" s="128">
        <f t="shared" si="298"/>
        <v>0</v>
      </c>
    </row>
    <row r="160" spans="16:26" ht="13.2">
      <c r="P160" s="46"/>
      <c r="Q160" s="46"/>
      <c r="S160" s="128"/>
      <c r="T160" s="128"/>
      <c r="V160" s="75">
        <v>0</v>
      </c>
      <c r="W160" s="75">
        <v>0</v>
      </c>
      <c r="X160" s="20">
        <f>'res bld calcs'!G151-R160</f>
        <v>0</v>
      </c>
      <c r="Y160" s="128">
        <f t="shared" ref="Y160:Z160" si="299">$X160*V160</f>
        <v>0</v>
      </c>
      <c r="Z160" s="128">
        <f t="shared" si="299"/>
        <v>0</v>
      </c>
    </row>
    <row r="161" spans="16:26" ht="13.2">
      <c r="P161" s="46"/>
      <c r="Q161" s="46"/>
      <c r="S161" s="128"/>
      <c r="T161" s="128"/>
      <c r="V161" s="75">
        <v>0</v>
      </c>
      <c r="W161" s="75">
        <v>0</v>
      </c>
      <c r="X161" s="20">
        <f>'res bld calcs'!G152-R161</f>
        <v>0</v>
      </c>
      <c r="Y161" s="128">
        <f t="shared" ref="Y161:Z161" si="300">$X161*V161</f>
        <v>0</v>
      </c>
      <c r="Z161" s="128">
        <f t="shared" si="300"/>
        <v>0</v>
      </c>
    </row>
    <row r="162" spans="16:26" ht="13.2">
      <c r="P162" s="46"/>
      <c r="Q162" s="46"/>
      <c r="S162" s="128"/>
      <c r="T162" s="128"/>
      <c r="V162" s="75">
        <v>0</v>
      </c>
      <c r="W162" s="75">
        <v>0</v>
      </c>
      <c r="X162" s="20">
        <f>'res bld calcs'!G153-R162</f>
        <v>0</v>
      </c>
      <c r="Y162" s="128">
        <f t="shared" ref="Y162:Z162" si="301">$X162*V162</f>
        <v>0</v>
      </c>
      <c r="Z162" s="128">
        <f t="shared" si="301"/>
        <v>0</v>
      </c>
    </row>
    <row r="163" spans="16:26" ht="13.2">
      <c r="P163" s="46"/>
      <c r="Q163" s="46"/>
      <c r="S163" s="128"/>
      <c r="T163" s="128"/>
      <c r="V163" s="75">
        <v>0</v>
      </c>
      <c r="W163" s="75">
        <v>0</v>
      </c>
      <c r="X163" s="20">
        <f>'res bld calcs'!G154-R163</f>
        <v>0</v>
      </c>
      <c r="Y163" s="128">
        <f t="shared" ref="Y163:Z163" si="302">$X163*V163</f>
        <v>0</v>
      </c>
      <c r="Z163" s="128">
        <f t="shared" si="302"/>
        <v>0</v>
      </c>
    </row>
    <row r="164" spans="16:26" ht="13.2">
      <c r="P164" s="46"/>
      <c r="Q164" s="46"/>
      <c r="S164" s="128"/>
      <c r="T164" s="128"/>
      <c r="V164" s="75">
        <v>0</v>
      </c>
      <c r="W164" s="75">
        <v>0</v>
      </c>
      <c r="X164" s="20">
        <f>'res bld calcs'!G155-R164</f>
        <v>0</v>
      </c>
      <c r="Y164" s="128">
        <f t="shared" ref="Y164:Z164" si="303">$X164*V164</f>
        <v>0</v>
      </c>
      <c r="Z164" s="128">
        <f t="shared" si="303"/>
        <v>0</v>
      </c>
    </row>
    <row r="165" spans="16:26" ht="13.2">
      <c r="P165" s="46"/>
      <c r="Q165" s="46"/>
      <c r="S165" s="128"/>
      <c r="T165" s="128"/>
      <c r="V165" s="75">
        <v>0</v>
      </c>
      <c r="W165" s="75">
        <v>0</v>
      </c>
      <c r="X165" s="20">
        <f>'res bld calcs'!G156-R165</f>
        <v>0</v>
      </c>
      <c r="Y165" s="128">
        <f t="shared" ref="Y165:Z165" si="304">$X165*V165</f>
        <v>0</v>
      </c>
      <c r="Z165" s="128">
        <f t="shared" si="304"/>
        <v>0</v>
      </c>
    </row>
    <row r="166" spans="16:26" ht="13.2">
      <c r="P166" s="46"/>
      <c r="Q166" s="46"/>
      <c r="S166" s="128"/>
      <c r="T166" s="128"/>
      <c r="V166" s="75">
        <v>0</v>
      </c>
      <c r="W166" s="75">
        <v>0</v>
      </c>
      <c r="X166" s="20">
        <f>'res bld calcs'!G157-R166</f>
        <v>0</v>
      </c>
      <c r="Y166" s="128">
        <f t="shared" ref="Y166:Z166" si="305">$X166*V166</f>
        <v>0</v>
      </c>
      <c r="Z166" s="128">
        <f t="shared" si="305"/>
        <v>0</v>
      </c>
    </row>
    <row r="167" spans="16:26" ht="13.2">
      <c r="P167" s="46"/>
      <c r="Q167" s="46"/>
      <c r="S167" s="128"/>
      <c r="T167" s="128"/>
      <c r="V167" s="75">
        <v>0</v>
      </c>
      <c r="W167" s="75">
        <v>0</v>
      </c>
      <c r="X167" s="20">
        <f>'res bld calcs'!G158-R167</f>
        <v>0</v>
      </c>
      <c r="Y167" s="128">
        <f t="shared" ref="Y167:Z167" si="306">$X167*V167</f>
        <v>0</v>
      </c>
      <c r="Z167" s="128">
        <f t="shared" si="306"/>
        <v>0</v>
      </c>
    </row>
    <row r="168" spans="16:26" ht="13.2">
      <c r="P168" s="46"/>
      <c r="Q168" s="46"/>
      <c r="S168" s="128"/>
      <c r="T168" s="128"/>
      <c r="V168" s="75">
        <v>0</v>
      </c>
      <c r="W168" s="75">
        <v>0</v>
      </c>
      <c r="X168" s="20">
        <f>'res bld calcs'!G159-R168</f>
        <v>0</v>
      </c>
      <c r="Y168" s="128">
        <f t="shared" ref="Y168:Z168" si="307">$X168*V168</f>
        <v>0</v>
      </c>
      <c r="Z168" s="128">
        <f t="shared" si="307"/>
        <v>0</v>
      </c>
    </row>
    <row r="169" spans="16:26" ht="13.2">
      <c r="P169" s="46"/>
      <c r="Q169" s="46"/>
      <c r="S169" s="128"/>
      <c r="T169" s="128"/>
      <c r="V169" s="75">
        <v>0</v>
      </c>
      <c r="W169" s="75">
        <v>0</v>
      </c>
      <c r="X169" s="20">
        <f>'res bld calcs'!G160-R169</f>
        <v>0</v>
      </c>
      <c r="Y169" s="128">
        <f t="shared" ref="Y169:Z169" si="308">$X169*V169</f>
        <v>0</v>
      </c>
      <c r="Z169" s="128">
        <f t="shared" si="308"/>
        <v>0</v>
      </c>
    </row>
    <row r="170" spans="16:26" ht="13.2">
      <c r="P170" s="46"/>
      <c r="Q170" s="46"/>
      <c r="S170" s="128"/>
      <c r="T170" s="128"/>
      <c r="V170" s="75">
        <v>0</v>
      </c>
      <c r="W170" s="75">
        <v>0</v>
      </c>
      <c r="X170" s="20">
        <f>'res bld calcs'!G161-R170</f>
        <v>0</v>
      </c>
      <c r="Y170" s="128">
        <f t="shared" ref="Y170:Z170" si="309">$X170*V170</f>
        <v>0</v>
      </c>
      <c r="Z170" s="128">
        <f t="shared" si="309"/>
        <v>0</v>
      </c>
    </row>
    <row r="171" spans="16:26" ht="13.2">
      <c r="P171" s="46"/>
      <c r="Q171" s="46"/>
      <c r="S171" s="128"/>
      <c r="T171" s="128"/>
      <c r="V171" s="75">
        <v>0</v>
      </c>
      <c r="W171" s="75">
        <v>0</v>
      </c>
      <c r="X171" s="20">
        <f>'res bld calcs'!G162-R171</f>
        <v>0</v>
      </c>
      <c r="Y171" s="128">
        <f t="shared" ref="Y171:Z171" si="310">$X171*V171</f>
        <v>0</v>
      </c>
      <c r="Z171" s="128">
        <f t="shared" si="310"/>
        <v>0</v>
      </c>
    </row>
    <row r="172" spans="16:26" ht="13.2">
      <c r="P172" s="46"/>
      <c r="Q172" s="46"/>
      <c r="S172" s="128"/>
      <c r="T172" s="128"/>
      <c r="V172" s="75">
        <v>0</v>
      </c>
      <c r="W172" s="75">
        <v>0</v>
      </c>
      <c r="X172" s="20">
        <f>'res bld calcs'!G163-R172</f>
        <v>0</v>
      </c>
      <c r="Y172" s="128">
        <f t="shared" ref="Y172:Z172" si="311">$X172*V172</f>
        <v>0</v>
      </c>
      <c r="Z172" s="128">
        <f t="shared" si="311"/>
        <v>0</v>
      </c>
    </row>
    <row r="173" spans="16:26" ht="13.2">
      <c r="P173" s="46"/>
      <c r="Q173" s="46"/>
      <c r="S173" s="128"/>
      <c r="T173" s="128"/>
      <c r="V173" s="75">
        <v>0</v>
      </c>
      <c r="W173" s="75">
        <v>0</v>
      </c>
      <c r="X173" s="20">
        <f>'res bld calcs'!G164-R173</f>
        <v>0</v>
      </c>
      <c r="Y173" s="128">
        <f t="shared" ref="Y173:Z173" si="312">$X173*V173</f>
        <v>0</v>
      </c>
      <c r="Z173" s="128">
        <f t="shared" si="312"/>
        <v>0</v>
      </c>
    </row>
    <row r="174" spans="16:26" ht="13.2">
      <c r="P174" s="46"/>
      <c r="Q174" s="46"/>
      <c r="S174" s="128"/>
      <c r="T174" s="128"/>
      <c r="V174" s="75">
        <v>0</v>
      </c>
      <c r="W174" s="75">
        <v>0</v>
      </c>
      <c r="X174" s="20">
        <f>'res bld calcs'!G165-R174</f>
        <v>0</v>
      </c>
      <c r="Y174" s="128">
        <f t="shared" ref="Y174:Z174" si="313">$X174*V174</f>
        <v>0</v>
      </c>
      <c r="Z174" s="128">
        <f t="shared" si="313"/>
        <v>0</v>
      </c>
    </row>
    <row r="175" spans="16:26" ht="13.2">
      <c r="P175" s="46"/>
      <c r="Q175" s="46"/>
      <c r="S175" s="128"/>
      <c r="T175" s="128"/>
      <c r="V175" s="75">
        <v>0</v>
      </c>
      <c r="W175" s="75">
        <v>0</v>
      </c>
      <c r="X175" s="20">
        <f>'res bld calcs'!G166-R175</f>
        <v>0</v>
      </c>
      <c r="Y175" s="128">
        <f t="shared" ref="Y175:Z175" si="314">$X175*V175</f>
        <v>0</v>
      </c>
      <c r="Z175" s="128">
        <f t="shared" si="314"/>
        <v>0</v>
      </c>
    </row>
    <row r="176" spans="16:26" ht="13.2">
      <c r="P176" s="46"/>
      <c r="Q176" s="46"/>
      <c r="S176" s="128"/>
      <c r="T176" s="128"/>
      <c r="V176" s="75">
        <v>0</v>
      </c>
      <c r="W176" s="75">
        <v>0</v>
      </c>
      <c r="X176" s="20">
        <f>'res bld calcs'!G167-R176</f>
        <v>0</v>
      </c>
      <c r="Y176" s="128">
        <f t="shared" ref="Y176:Z176" si="315">$X176*V176</f>
        <v>0</v>
      </c>
      <c r="Z176" s="128">
        <f t="shared" si="315"/>
        <v>0</v>
      </c>
    </row>
    <row r="177" spans="16:26" ht="13.2">
      <c r="P177" s="46"/>
      <c r="Q177" s="46"/>
      <c r="S177" s="128"/>
      <c r="T177" s="128"/>
      <c r="V177" s="75">
        <v>0</v>
      </c>
      <c r="W177" s="75">
        <v>0</v>
      </c>
      <c r="X177" s="20">
        <f>'res bld calcs'!G168-R177</f>
        <v>0</v>
      </c>
      <c r="Y177" s="128">
        <f t="shared" ref="Y177:Z177" si="316">$X177*V177</f>
        <v>0</v>
      </c>
      <c r="Z177" s="128">
        <f t="shared" si="316"/>
        <v>0</v>
      </c>
    </row>
    <row r="178" spans="16:26" ht="13.2">
      <c r="P178" s="46"/>
      <c r="Q178" s="46"/>
      <c r="S178" s="128"/>
      <c r="T178" s="128"/>
      <c r="V178" s="75">
        <v>0</v>
      </c>
      <c r="W178" s="75">
        <v>0</v>
      </c>
      <c r="X178" s="20">
        <f>'res bld calcs'!G169-R178</f>
        <v>0</v>
      </c>
      <c r="Y178" s="128">
        <f t="shared" ref="Y178:Z178" si="317">$X178*V178</f>
        <v>0</v>
      </c>
      <c r="Z178" s="128">
        <f t="shared" si="317"/>
        <v>0</v>
      </c>
    </row>
    <row r="179" spans="16:26" ht="13.2">
      <c r="P179" s="46"/>
      <c r="Q179" s="46"/>
      <c r="S179" s="128"/>
      <c r="T179" s="128"/>
      <c r="V179" s="75">
        <v>0</v>
      </c>
      <c r="W179" s="75">
        <v>0</v>
      </c>
      <c r="X179" s="20">
        <f>'res bld calcs'!G170-R179</f>
        <v>0</v>
      </c>
      <c r="Y179" s="128">
        <f t="shared" ref="Y179:Z179" si="318">$X179*V179</f>
        <v>0</v>
      </c>
      <c r="Z179" s="128">
        <f t="shared" si="318"/>
        <v>0</v>
      </c>
    </row>
    <row r="180" spans="16:26" ht="13.2">
      <c r="P180" s="46"/>
      <c r="Q180" s="46"/>
      <c r="S180" s="128"/>
      <c r="T180" s="128"/>
      <c r="V180" s="75">
        <v>0</v>
      </c>
      <c r="W180" s="75">
        <v>0</v>
      </c>
      <c r="X180" s="20">
        <f>'res bld calcs'!G171-R180</f>
        <v>0</v>
      </c>
      <c r="Y180" s="128">
        <f t="shared" ref="Y180:Z180" si="319">$X180*V180</f>
        <v>0</v>
      </c>
      <c r="Z180" s="128">
        <f t="shared" si="319"/>
        <v>0</v>
      </c>
    </row>
    <row r="181" spans="16:26" ht="13.2">
      <c r="P181" s="46"/>
      <c r="Q181" s="46"/>
      <c r="S181" s="128"/>
      <c r="T181" s="128"/>
      <c r="V181" s="75">
        <v>0</v>
      </c>
      <c r="W181" s="75">
        <v>0</v>
      </c>
      <c r="X181" s="20">
        <f>'res bld calcs'!G172-R181</f>
        <v>0</v>
      </c>
      <c r="Y181" s="128">
        <f t="shared" ref="Y181:Z181" si="320">$X181*V181</f>
        <v>0</v>
      </c>
      <c r="Z181" s="128">
        <f t="shared" si="320"/>
        <v>0</v>
      </c>
    </row>
    <row r="182" spans="16:26" ht="13.2">
      <c r="P182" s="46"/>
      <c r="Q182" s="46"/>
      <c r="S182" s="128"/>
      <c r="T182" s="128"/>
      <c r="V182" s="75">
        <v>0</v>
      </c>
      <c r="W182" s="75">
        <v>0</v>
      </c>
      <c r="X182" s="20">
        <f>'res bld calcs'!G173-R182</f>
        <v>0</v>
      </c>
      <c r="Y182" s="128">
        <f t="shared" ref="Y182:Z182" si="321">$X182*V182</f>
        <v>0</v>
      </c>
      <c r="Z182" s="128">
        <f t="shared" si="321"/>
        <v>0</v>
      </c>
    </row>
    <row r="183" spans="16:26" ht="13.2">
      <c r="P183" s="46"/>
      <c r="Q183" s="46"/>
      <c r="S183" s="128"/>
      <c r="T183" s="128"/>
      <c r="V183" s="75">
        <v>0</v>
      </c>
      <c r="W183" s="75">
        <v>0</v>
      </c>
      <c r="X183" s="20">
        <f>'res bld calcs'!G174-R183</f>
        <v>0</v>
      </c>
      <c r="Y183" s="128">
        <f t="shared" ref="Y183:Z183" si="322">$X183*V183</f>
        <v>0</v>
      </c>
      <c r="Z183" s="128">
        <f t="shared" si="322"/>
        <v>0</v>
      </c>
    </row>
    <row r="184" spans="16:26" ht="13.2">
      <c r="P184" s="46"/>
      <c r="Q184" s="46"/>
      <c r="S184" s="128"/>
      <c r="T184" s="128"/>
      <c r="V184" s="75">
        <v>0</v>
      </c>
      <c r="W184" s="75">
        <v>0</v>
      </c>
      <c r="X184" s="20">
        <f>'res bld calcs'!G175-R184</f>
        <v>0</v>
      </c>
      <c r="Y184" s="128">
        <f t="shared" ref="Y184:Z184" si="323">$X184*V184</f>
        <v>0</v>
      </c>
      <c r="Z184" s="128">
        <f t="shared" si="323"/>
        <v>0</v>
      </c>
    </row>
    <row r="185" spans="16:26" ht="13.2">
      <c r="P185" s="46"/>
      <c r="Q185" s="46"/>
      <c r="S185" s="128"/>
      <c r="T185" s="128"/>
      <c r="V185" s="75">
        <v>0</v>
      </c>
      <c r="W185" s="75">
        <v>0</v>
      </c>
      <c r="X185" s="20">
        <f>'res bld calcs'!G176-R185</f>
        <v>0</v>
      </c>
      <c r="Y185" s="128">
        <f t="shared" ref="Y185:Z185" si="324">$X185*V185</f>
        <v>0</v>
      </c>
      <c r="Z185" s="128">
        <f t="shared" si="324"/>
        <v>0</v>
      </c>
    </row>
    <row r="186" spans="16:26" ht="13.2">
      <c r="P186" s="46"/>
      <c r="Q186" s="46"/>
      <c r="S186" s="128"/>
      <c r="T186" s="128"/>
      <c r="V186" s="75">
        <v>0</v>
      </c>
      <c r="W186" s="75">
        <v>0</v>
      </c>
      <c r="X186" s="20">
        <f>'res bld calcs'!G177-R186</f>
        <v>0</v>
      </c>
      <c r="Y186" s="128">
        <f t="shared" ref="Y186:Z186" si="325">$X186*V186</f>
        <v>0</v>
      </c>
      <c r="Z186" s="128">
        <f t="shared" si="325"/>
        <v>0</v>
      </c>
    </row>
    <row r="187" spans="16:26" ht="13.2">
      <c r="P187" s="46"/>
      <c r="Q187" s="46"/>
      <c r="S187" s="128"/>
      <c r="T187" s="128"/>
      <c r="V187" s="75">
        <v>0</v>
      </c>
      <c r="W187" s="75">
        <v>0</v>
      </c>
      <c r="X187" s="20">
        <f>'res bld calcs'!G178-R187</f>
        <v>0</v>
      </c>
      <c r="Y187" s="128">
        <f t="shared" ref="Y187:Z187" si="326">$X187*V187</f>
        <v>0</v>
      </c>
      <c r="Z187" s="128">
        <f t="shared" si="326"/>
        <v>0</v>
      </c>
    </row>
    <row r="188" spans="16:26" ht="13.2">
      <c r="P188" s="46"/>
      <c r="Q188" s="46"/>
      <c r="S188" s="128"/>
      <c r="T188" s="128"/>
      <c r="V188" s="75">
        <v>0</v>
      </c>
      <c r="W188" s="75">
        <v>0</v>
      </c>
      <c r="X188" s="20">
        <f>'res bld calcs'!G179-R188</f>
        <v>0</v>
      </c>
      <c r="Y188" s="128">
        <f t="shared" ref="Y188:Z188" si="327">$X188*V188</f>
        <v>0</v>
      </c>
      <c r="Z188" s="128">
        <f t="shared" si="327"/>
        <v>0</v>
      </c>
    </row>
    <row r="189" spans="16:26" ht="13.2">
      <c r="P189" s="46"/>
      <c r="Q189" s="46"/>
      <c r="S189" s="128"/>
      <c r="T189" s="128"/>
      <c r="V189" s="75">
        <v>0</v>
      </c>
      <c r="W189" s="75">
        <v>0</v>
      </c>
      <c r="X189" s="20">
        <f>'res bld calcs'!G180-R189</f>
        <v>0</v>
      </c>
      <c r="Y189" s="128">
        <f t="shared" ref="Y189:Z189" si="328">$X189*V189</f>
        <v>0</v>
      </c>
      <c r="Z189" s="128">
        <f t="shared" si="328"/>
        <v>0</v>
      </c>
    </row>
    <row r="190" spans="16:26" ht="13.2">
      <c r="P190" s="46"/>
      <c r="Q190" s="46"/>
      <c r="S190" s="128"/>
      <c r="T190" s="128"/>
      <c r="V190" s="75">
        <v>0</v>
      </c>
      <c r="W190" s="75">
        <v>0</v>
      </c>
      <c r="X190" s="20">
        <f>'res bld calcs'!G181-R190</f>
        <v>0</v>
      </c>
      <c r="Y190" s="128">
        <f t="shared" ref="Y190:Z190" si="329">$X190*V190</f>
        <v>0</v>
      </c>
      <c r="Z190" s="128">
        <f t="shared" si="329"/>
        <v>0</v>
      </c>
    </row>
    <row r="191" spans="16:26" ht="13.2">
      <c r="P191" s="46"/>
      <c r="Q191" s="46"/>
      <c r="S191" s="128"/>
      <c r="T191" s="128"/>
      <c r="V191" s="75">
        <v>0</v>
      </c>
      <c r="W191" s="75">
        <v>0</v>
      </c>
      <c r="X191" s="20">
        <f>'res bld calcs'!G182-R191</f>
        <v>0</v>
      </c>
      <c r="Y191" s="128">
        <f t="shared" ref="Y191:Z191" si="330">$X191*V191</f>
        <v>0</v>
      </c>
      <c r="Z191" s="128">
        <f t="shared" si="330"/>
        <v>0</v>
      </c>
    </row>
    <row r="192" spans="16:26" ht="13.2">
      <c r="P192" s="46"/>
      <c r="Q192" s="46"/>
      <c r="S192" s="128"/>
      <c r="T192" s="128"/>
      <c r="V192" s="75">
        <v>0</v>
      </c>
      <c r="W192" s="75">
        <v>0</v>
      </c>
      <c r="X192" s="20">
        <f>'res bld calcs'!G183-R192</f>
        <v>0</v>
      </c>
      <c r="Y192" s="128">
        <f t="shared" ref="Y192:Z192" si="331">$X192*V192</f>
        <v>0</v>
      </c>
      <c r="Z192" s="128">
        <f t="shared" si="331"/>
        <v>0</v>
      </c>
    </row>
    <row r="193" spans="16:26" ht="13.2">
      <c r="P193" s="46"/>
      <c r="Q193" s="46"/>
      <c r="S193" s="128"/>
      <c r="T193" s="128"/>
      <c r="V193" s="75">
        <v>0</v>
      </c>
      <c r="W193" s="75">
        <v>0</v>
      </c>
      <c r="X193" s="20">
        <f>'res bld calcs'!G184-R193</f>
        <v>0</v>
      </c>
      <c r="Y193" s="128">
        <f t="shared" ref="Y193:Z193" si="332">$X193*V193</f>
        <v>0</v>
      </c>
      <c r="Z193" s="128">
        <f t="shared" si="332"/>
        <v>0</v>
      </c>
    </row>
    <row r="194" spans="16:26" ht="13.2">
      <c r="P194" s="46"/>
      <c r="Q194" s="46"/>
      <c r="S194" s="128"/>
      <c r="T194" s="128"/>
      <c r="V194" s="75">
        <v>0</v>
      </c>
      <c r="W194" s="75">
        <v>0</v>
      </c>
      <c r="X194" s="20">
        <f>'res bld calcs'!G185-R194</f>
        <v>0</v>
      </c>
      <c r="Y194" s="128">
        <f t="shared" ref="Y194:Z194" si="333">$X194*V194</f>
        <v>0</v>
      </c>
      <c r="Z194" s="128">
        <f t="shared" si="333"/>
        <v>0</v>
      </c>
    </row>
    <row r="195" spans="16:26" ht="13.2">
      <c r="P195" s="46"/>
      <c r="Q195" s="46"/>
      <c r="S195" s="128"/>
      <c r="T195" s="128"/>
      <c r="V195" s="75">
        <v>0</v>
      </c>
      <c r="W195" s="75">
        <v>0</v>
      </c>
      <c r="X195" s="20">
        <f>'res bld calcs'!G186-R195</f>
        <v>0</v>
      </c>
      <c r="Y195" s="128">
        <f t="shared" ref="Y195:Z195" si="334">$X195*V195</f>
        <v>0</v>
      </c>
      <c r="Z195" s="128">
        <f t="shared" si="334"/>
        <v>0</v>
      </c>
    </row>
    <row r="196" spans="16:26" ht="13.2">
      <c r="P196" s="46"/>
      <c r="Q196" s="46"/>
      <c r="S196" s="128"/>
      <c r="T196" s="128"/>
      <c r="V196" s="75">
        <v>0</v>
      </c>
      <c r="W196" s="75">
        <v>0</v>
      </c>
      <c r="X196" s="20">
        <f>'res bld calcs'!G187-R196</f>
        <v>0</v>
      </c>
      <c r="Y196" s="128">
        <f t="shared" ref="Y196:Z196" si="335">$X196*V196</f>
        <v>0</v>
      </c>
      <c r="Z196" s="128">
        <f t="shared" si="335"/>
        <v>0</v>
      </c>
    </row>
    <row r="197" spans="16:26" ht="13.2">
      <c r="P197" s="46"/>
      <c r="Q197" s="46"/>
      <c r="S197" s="128"/>
      <c r="T197" s="128"/>
      <c r="V197" s="75">
        <v>0</v>
      </c>
      <c r="W197" s="75">
        <v>0</v>
      </c>
      <c r="X197" s="20">
        <f>'res bld calcs'!G188-R197</f>
        <v>0</v>
      </c>
      <c r="Y197" s="128">
        <f t="shared" ref="Y197:Z197" si="336">$X197*V197</f>
        <v>0</v>
      </c>
      <c r="Z197" s="128">
        <f t="shared" si="336"/>
        <v>0</v>
      </c>
    </row>
    <row r="198" spans="16:26" ht="13.2">
      <c r="P198" s="46"/>
      <c r="Q198" s="46"/>
      <c r="S198" s="128"/>
      <c r="T198" s="128"/>
      <c r="V198" s="75">
        <v>0</v>
      </c>
      <c r="W198" s="75">
        <v>0</v>
      </c>
      <c r="X198" s="20">
        <f>'res bld calcs'!G189-R198</f>
        <v>0</v>
      </c>
      <c r="Y198" s="128">
        <f t="shared" ref="Y198:Z198" si="337">$X198*V198</f>
        <v>0</v>
      </c>
      <c r="Z198" s="128">
        <f t="shared" si="337"/>
        <v>0</v>
      </c>
    </row>
    <row r="199" spans="16:26" ht="13.2">
      <c r="P199" s="46"/>
      <c r="Q199" s="46"/>
      <c r="S199" s="128"/>
      <c r="T199" s="128"/>
      <c r="V199" s="75">
        <v>0</v>
      </c>
      <c r="W199" s="75">
        <v>0</v>
      </c>
      <c r="X199" s="20">
        <f>'res bld calcs'!G190-R199</f>
        <v>0</v>
      </c>
      <c r="Y199" s="128">
        <f t="shared" ref="Y199:Z199" si="338">$X199*V199</f>
        <v>0</v>
      </c>
      <c r="Z199" s="128">
        <f t="shared" si="338"/>
        <v>0</v>
      </c>
    </row>
    <row r="200" spans="16:26" ht="13.2">
      <c r="P200" s="46"/>
      <c r="Q200" s="46"/>
      <c r="S200" s="128"/>
      <c r="T200" s="128"/>
      <c r="V200" s="75">
        <v>0</v>
      </c>
      <c r="W200" s="75">
        <v>0</v>
      </c>
      <c r="X200" s="20">
        <f>'res bld calcs'!G191-R200</f>
        <v>0</v>
      </c>
      <c r="Y200" s="128">
        <f t="shared" ref="Y200:Z200" si="339">$X200*V200</f>
        <v>0</v>
      </c>
      <c r="Z200" s="128">
        <f t="shared" si="339"/>
        <v>0</v>
      </c>
    </row>
    <row r="201" spans="16:26" ht="13.2">
      <c r="P201" s="46"/>
      <c r="Q201" s="46"/>
      <c r="S201" s="128"/>
      <c r="T201" s="128"/>
      <c r="V201" s="75">
        <v>0</v>
      </c>
      <c r="W201" s="75">
        <v>0</v>
      </c>
      <c r="X201" s="20">
        <f>'res bld calcs'!G192-R201</f>
        <v>0</v>
      </c>
      <c r="Y201" s="128">
        <f t="shared" ref="Y201:Z201" si="340">$X201*V201</f>
        <v>0</v>
      </c>
      <c r="Z201" s="128">
        <f t="shared" si="340"/>
        <v>0</v>
      </c>
    </row>
    <row r="202" spans="16:26" ht="13.2">
      <c r="P202" s="46"/>
      <c r="Q202" s="46"/>
      <c r="S202" s="128"/>
      <c r="T202" s="128"/>
      <c r="V202" s="75">
        <v>0</v>
      </c>
      <c r="W202" s="75">
        <v>0</v>
      </c>
      <c r="X202" s="20">
        <f>'res bld calcs'!G193-R202</f>
        <v>0</v>
      </c>
      <c r="Y202" s="128">
        <f t="shared" ref="Y202:Z202" si="341">$X202*V202</f>
        <v>0</v>
      </c>
      <c r="Z202" s="128">
        <f t="shared" si="341"/>
        <v>0</v>
      </c>
    </row>
    <row r="203" spans="16:26" ht="13.2">
      <c r="P203" s="46"/>
      <c r="Q203" s="46"/>
      <c r="S203" s="128"/>
      <c r="T203" s="128"/>
      <c r="V203" s="75">
        <v>0</v>
      </c>
      <c r="W203" s="75">
        <v>0</v>
      </c>
      <c r="X203" s="20">
        <f>'res bld calcs'!G194-R203</f>
        <v>0</v>
      </c>
      <c r="Y203" s="128">
        <f t="shared" ref="Y203:Z203" si="342">$X203*V203</f>
        <v>0</v>
      </c>
      <c r="Z203" s="128">
        <f t="shared" si="342"/>
        <v>0</v>
      </c>
    </row>
    <row r="204" spans="16:26" ht="13.2">
      <c r="P204" s="46"/>
      <c r="Q204" s="46"/>
      <c r="S204" s="128"/>
      <c r="T204" s="128"/>
      <c r="V204" s="75">
        <v>0</v>
      </c>
      <c r="W204" s="75">
        <v>0</v>
      </c>
      <c r="X204" s="20">
        <f>'res bld calcs'!G195-R204</f>
        <v>0</v>
      </c>
      <c r="Y204" s="128">
        <f t="shared" ref="Y204:Z204" si="343">$X204*V204</f>
        <v>0</v>
      </c>
      <c r="Z204" s="128">
        <f t="shared" si="343"/>
        <v>0</v>
      </c>
    </row>
    <row r="205" spans="16:26" ht="13.2">
      <c r="P205" s="46"/>
      <c r="Q205" s="46"/>
      <c r="S205" s="128"/>
      <c r="T205" s="128"/>
      <c r="V205" s="75">
        <v>0</v>
      </c>
      <c r="W205" s="75">
        <v>0</v>
      </c>
      <c r="X205" s="20">
        <f>'res bld calcs'!G196-R205</f>
        <v>0</v>
      </c>
      <c r="Y205" s="128">
        <f t="shared" ref="Y205:Z205" si="344">$X205*V205</f>
        <v>0</v>
      </c>
      <c r="Z205" s="128">
        <f t="shared" si="344"/>
        <v>0</v>
      </c>
    </row>
    <row r="206" spans="16:26" ht="13.2">
      <c r="P206" s="46"/>
      <c r="Q206" s="46"/>
      <c r="S206" s="128"/>
      <c r="T206" s="128"/>
      <c r="V206" s="75">
        <v>0</v>
      </c>
      <c r="W206" s="75">
        <v>0</v>
      </c>
      <c r="X206" s="20">
        <f>'res bld calcs'!G197-R206</f>
        <v>0</v>
      </c>
      <c r="Y206" s="128">
        <f t="shared" ref="Y206:Z206" si="345">$X206*V206</f>
        <v>0</v>
      </c>
      <c r="Z206" s="128">
        <f t="shared" si="345"/>
        <v>0</v>
      </c>
    </row>
    <row r="207" spans="16:26" ht="13.2">
      <c r="P207" s="46"/>
      <c r="Q207" s="46"/>
      <c r="S207" s="128"/>
      <c r="T207" s="128"/>
      <c r="V207" s="75">
        <v>0</v>
      </c>
      <c r="W207" s="75">
        <v>0</v>
      </c>
      <c r="X207" s="20">
        <f>'res bld calcs'!G198-R207</f>
        <v>0</v>
      </c>
      <c r="Y207" s="128">
        <f t="shared" ref="Y207:Z207" si="346">$X207*V207</f>
        <v>0</v>
      </c>
      <c r="Z207" s="128">
        <f t="shared" si="346"/>
        <v>0</v>
      </c>
    </row>
    <row r="208" spans="16:26" ht="13.2">
      <c r="P208" s="46"/>
      <c r="Q208" s="46"/>
      <c r="S208" s="128"/>
      <c r="T208" s="128"/>
      <c r="V208" s="75">
        <v>0</v>
      </c>
      <c r="W208" s="75">
        <v>0</v>
      </c>
      <c r="X208" s="20">
        <f>'res bld calcs'!G199-R208</f>
        <v>0</v>
      </c>
      <c r="Y208" s="128">
        <f t="shared" ref="Y208:Z208" si="347">$X208*V208</f>
        <v>0</v>
      </c>
      <c r="Z208" s="128">
        <f t="shared" si="347"/>
        <v>0</v>
      </c>
    </row>
    <row r="209" spans="16:26" ht="13.2">
      <c r="P209" s="46"/>
      <c r="Q209" s="46"/>
      <c r="S209" s="128"/>
      <c r="T209" s="128"/>
      <c r="V209" s="75">
        <v>0</v>
      </c>
      <c r="W209" s="75">
        <v>0</v>
      </c>
      <c r="X209" s="20">
        <f>'res bld calcs'!G200-R209</f>
        <v>0</v>
      </c>
      <c r="Y209" s="128">
        <f t="shared" ref="Y209:Z209" si="348">$X209*V209</f>
        <v>0</v>
      </c>
      <c r="Z209" s="128">
        <f t="shared" si="348"/>
        <v>0</v>
      </c>
    </row>
    <row r="210" spans="16:26" ht="13.2">
      <c r="P210" s="46"/>
      <c r="Q210" s="46"/>
      <c r="S210" s="128"/>
      <c r="T210" s="128"/>
      <c r="V210" s="75">
        <v>0</v>
      </c>
      <c r="W210" s="75">
        <v>0</v>
      </c>
      <c r="X210" s="20">
        <f>'res bld calcs'!G201-R210</f>
        <v>0</v>
      </c>
      <c r="Y210" s="128">
        <f t="shared" ref="Y210:Z210" si="349">$X210*V210</f>
        <v>0</v>
      </c>
      <c r="Z210" s="128">
        <f t="shared" si="349"/>
        <v>0</v>
      </c>
    </row>
    <row r="211" spans="16:26" ht="13.2">
      <c r="P211" s="46"/>
      <c r="Q211" s="46"/>
      <c r="S211" s="128"/>
      <c r="T211" s="128"/>
      <c r="V211" s="75">
        <v>0</v>
      </c>
      <c r="W211" s="75">
        <v>0</v>
      </c>
      <c r="X211" s="20">
        <f>'res bld calcs'!G202-R211</f>
        <v>0</v>
      </c>
      <c r="Y211" s="128">
        <f t="shared" ref="Y211:Z211" si="350">$X211*V211</f>
        <v>0</v>
      </c>
      <c r="Z211" s="128">
        <f t="shared" si="350"/>
        <v>0</v>
      </c>
    </row>
    <row r="212" spans="16:26" ht="13.2">
      <c r="P212" s="46"/>
      <c r="Q212" s="46"/>
      <c r="S212" s="128"/>
      <c r="T212" s="128"/>
      <c r="V212" s="75">
        <v>0</v>
      </c>
      <c r="W212" s="75">
        <v>0</v>
      </c>
      <c r="X212" s="20">
        <f>'res bld calcs'!G203-R212</f>
        <v>0</v>
      </c>
      <c r="Y212" s="128">
        <f t="shared" ref="Y212:Z212" si="351">$X212*V212</f>
        <v>0</v>
      </c>
      <c r="Z212" s="128">
        <f t="shared" si="351"/>
        <v>0</v>
      </c>
    </row>
    <row r="213" spans="16:26" ht="13.2">
      <c r="P213" s="46"/>
      <c r="Q213" s="46"/>
      <c r="S213" s="128"/>
      <c r="T213" s="128"/>
      <c r="V213" s="75">
        <v>0</v>
      </c>
      <c r="W213" s="75">
        <v>0</v>
      </c>
      <c r="X213" s="20">
        <f>'res bld calcs'!G204-R213</f>
        <v>0</v>
      </c>
      <c r="Y213" s="128">
        <f t="shared" ref="Y213:Z213" si="352">$X213*V213</f>
        <v>0</v>
      </c>
      <c r="Z213" s="128">
        <f t="shared" si="352"/>
        <v>0</v>
      </c>
    </row>
    <row r="214" spans="16:26" ht="13.2">
      <c r="P214" s="46"/>
      <c r="Q214" s="46"/>
      <c r="S214" s="128"/>
      <c r="T214" s="128"/>
      <c r="V214" s="75">
        <v>0</v>
      </c>
      <c r="W214" s="75">
        <v>0</v>
      </c>
      <c r="X214" s="20">
        <f>'res bld calcs'!G205-R214</f>
        <v>0</v>
      </c>
      <c r="Y214" s="128">
        <f t="shared" ref="Y214:Z214" si="353">$X214*V214</f>
        <v>0</v>
      </c>
      <c r="Z214" s="128">
        <f t="shared" si="353"/>
        <v>0</v>
      </c>
    </row>
    <row r="215" spans="16:26" ht="13.2">
      <c r="P215" s="46"/>
      <c r="Q215" s="46"/>
      <c r="S215" s="128"/>
      <c r="T215" s="128"/>
      <c r="V215" s="75">
        <v>0</v>
      </c>
      <c r="W215" s="75">
        <v>0</v>
      </c>
      <c r="X215" s="20">
        <f>'res bld calcs'!G206-R215</f>
        <v>0</v>
      </c>
      <c r="Y215" s="128">
        <f t="shared" ref="Y215:Z215" si="354">$X215*V215</f>
        <v>0</v>
      </c>
      <c r="Z215" s="128">
        <f t="shared" si="354"/>
        <v>0</v>
      </c>
    </row>
    <row r="216" spans="16:26" ht="13.2">
      <c r="P216" s="46"/>
      <c r="Q216" s="46"/>
      <c r="S216" s="128"/>
      <c r="T216" s="128"/>
      <c r="V216" s="75">
        <v>0</v>
      </c>
      <c r="W216" s="75">
        <v>0</v>
      </c>
      <c r="X216" s="20">
        <f>'res bld calcs'!G207-R216</f>
        <v>0</v>
      </c>
      <c r="Y216" s="128">
        <f t="shared" ref="Y216:Z216" si="355">$X216*V216</f>
        <v>0</v>
      </c>
      <c r="Z216" s="128">
        <f t="shared" si="355"/>
        <v>0</v>
      </c>
    </row>
    <row r="217" spans="16:26" ht="13.2">
      <c r="P217" s="46"/>
      <c r="Q217" s="46"/>
      <c r="S217" s="128"/>
      <c r="T217" s="128"/>
      <c r="V217" s="75">
        <v>0</v>
      </c>
      <c r="W217" s="75">
        <v>0</v>
      </c>
      <c r="X217" s="20">
        <f>'res bld calcs'!G208-R217</f>
        <v>0</v>
      </c>
      <c r="Y217" s="128">
        <f t="shared" ref="Y217:Z217" si="356">$X217*V217</f>
        <v>0</v>
      </c>
      <c r="Z217" s="128">
        <f t="shared" si="356"/>
        <v>0</v>
      </c>
    </row>
    <row r="218" spans="16:26" ht="13.2">
      <c r="P218" s="46"/>
      <c r="Q218" s="46"/>
      <c r="S218" s="128"/>
      <c r="T218" s="128"/>
      <c r="V218" s="75">
        <v>0</v>
      </c>
      <c r="W218" s="75">
        <v>0</v>
      </c>
      <c r="X218" s="20">
        <f>'res bld calcs'!G209-R218</f>
        <v>0</v>
      </c>
      <c r="Y218" s="128">
        <f t="shared" ref="Y218:Z218" si="357">$X218*V218</f>
        <v>0</v>
      </c>
      <c r="Z218" s="128">
        <f t="shared" si="357"/>
        <v>0</v>
      </c>
    </row>
    <row r="219" spans="16:26" ht="13.2">
      <c r="P219" s="46"/>
      <c r="Q219" s="46"/>
      <c r="S219" s="128"/>
      <c r="T219" s="128"/>
      <c r="V219" s="75">
        <v>0</v>
      </c>
      <c r="W219" s="75">
        <v>0</v>
      </c>
      <c r="X219" s="20">
        <f>'res bld calcs'!G210-R219</f>
        <v>0</v>
      </c>
      <c r="Y219" s="128">
        <f t="shared" ref="Y219:Z219" si="358">$X219*V219</f>
        <v>0</v>
      </c>
      <c r="Z219" s="128">
        <f t="shared" si="358"/>
        <v>0</v>
      </c>
    </row>
    <row r="220" spans="16:26" ht="13.2">
      <c r="P220" s="46"/>
      <c r="Q220" s="46"/>
      <c r="S220" s="128"/>
      <c r="T220" s="128"/>
      <c r="V220" s="75">
        <v>0</v>
      </c>
      <c r="W220" s="75">
        <v>0</v>
      </c>
      <c r="X220" s="20">
        <f>'res bld calcs'!G211-R220</f>
        <v>0</v>
      </c>
      <c r="Y220" s="128">
        <f t="shared" ref="Y220:Z220" si="359">$X220*V220</f>
        <v>0</v>
      </c>
      <c r="Z220" s="128">
        <f t="shared" si="359"/>
        <v>0</v>
      </c>
    </row>
    <row r="221" spans="16:26" ht="13.2">
      <c r="P221" s="46"/>
      <c r="Q221" s="46"/>
      <c r="S221" s="128"/>
      <c r="T221" s="128"/>
      <c r="V221" s="75">
        <v>0</v>
      </c>
      <c r="W221" s="75">
        <v>0</v>
      </c>
      <c r="X221" s="20">
        <f>'res bld calcs'!G212-R221</f>
        <v>0</v>
      </c>
      <c r="Y221" s="128">
        <f t="shared" ref="Y221:Z221" si="360">$X221*V221</f>
        <v>0</v>
      </c>
      <c r="Z221" s="128">
        <f t="shared" si="360"/>
        <v>0</v>
      </c>
    </row>
    <row r="222" spans="16:26" ht="13.2">
      <c r="P222" s="46"/>
      <c r="Q222" s="46"/>
      <c r="S222" s="128"/>
      <c r="T222" s="128"/>
      <c r="V222" s="75">
        <v>0</v>
      </c>
      <c r="W222" s="75">
        <v>0</v>
      </c>
      <c r="X222" s="20">
        <f>'res bld calcs'!G213-R222</f>
        <v>0</v>
      </c>
      <c r="Y222" s="128">
        <f t="shared" ref="Y222:Z222" si="361">$X222*V222</f>
        <v>0</v>
      </c>
      <c r="Z222" s="128">
        <f t="shared" si="361"/>
        <v>0</v>
      </c>
    </row>
    <row r="223" spans="16:26" ht="13.2">
      <c r="P223" s="46"/>
      <c r="Q223" s="46"/>
      <c r="S223" s="128"/>
      <c r="T223" s="128"/>
      <c r="V223" s="75">
        <v>0</v>
      </c>
      <c r="W223" s="75">
        <v>0</v>
      </c>
      <c r="X223" s="20">
        <f>'res bld calcs'!G214-R223</f>
        <v>0</v>
      </c>
      <c r="Y223" s="128">
        <f t="shared" ref="Y223:Z223" si="362">$X223*V223</f>
        <v>0</v>
      </c>
      <c r="Z223" s="128">
        <f t="shared" si="362"/>
        <v>0</v>
      </c>
    </row>
    <row r="224" spans="16:26" ht="13.2">
      <c r="P224" s="46"/>
      <c r="Q224" s="46"/>
      <c r="S224" s="128"/>
      <c r="T224" s="128"/>
      <c r="V224" s="75">
        <v>0</v>
      </c>
      <c r="W224" s="75">
        <v>0</v>
      </c>
      <c r="X224" s="20">
        <f>'res bld calcs'!G215-R224</f>
        <v>0</v>
      </c>
      <c r="Y224" s="128">
        <f t="shared" ref="Y224:Z224" si="363">$X224*V224</f>
        <v>0</v>
      </c>
      <c r="Z224" s="128">
        <f t="shared" si="363"/>
        <v>0</v>
      </c>
    </row>
    <row r="225" spans="16:26" ht="13.2">
      <c r="P225" s="46"/>
      <c r="Q225" s="46"/>
      <c r="S225" s="128"/>
      <c r="T225" s="128"/>
      <c r="V225" s="75">
        <v>0</v>
      </c>
      <c r="W225" s="75">
        <v>0</v>
      </c>
      <c r="X225" s="20">
        <f>'res bld calcs'!G216-R225</f>
        <v>0</v>
      </c>
      <c r="Y225" s="128">
        <f t="shared" ref="Y225:Z225" si="364">$X225*V225</f>
        <v>0</v>
      </c>
      <c r="Z225" s="128">
        <f t="shared" si="364"/>
        <v>0</v>
      </c>
    </row>
    <row r="226" spans="16:26" ht="13.2">
      <c r="P226" s="46"/>
      <c r="Q226" s="46"/>
      <c r="S226" s="128"/>
      <c r="T226" s="128"/>
      <c r="V226" s="75">
        <v>0</v>
      </c>
      <c r="W226" s="75">
        <v>0</v>
      </c>
      <c r="X226" s="20">
        <f>'res bld calcs'!G217-R226</f>
        <v>0</v>
      </c>
      <c r="Y226" s="128">
        <f t="shared" ref="Y226:Z226" si="365">$X226*V226</f>
        <v>0</v>
      </c>
      <c r="Z226" s="128">
        <f t="shared" si="365"/>
        <v>0</v>
      </c>
    </row>
    <row r="227" spans="16:26" ht="13.2">
      <c r="P227" s="46"/>
      <c r="Q227" s="46"/>
      <c r="S227" s="128"/>
      <c r="T227" s="128"/>
      <c r="V227" s="75">
        <v>0</v>
      </c>
      <c r="W227" s="75">
        <v>0</v>
      </c>
      <c r="X227" s="20">
        <f>'res bld calcs'!G218-R227</f>
        <v>0</v>
      </c>
      <c r="Y227" s="128">
        <f t="shared" ref="Y227:Z227" si="366">$X227*V227</f>
        <v>0</v>
      </c>
      <c r="Z227" s="128">
        <f t="shared" si="366"/>
        <v>0</v>
      </c>
    </row>
    <row r="228" spans="16:26" ht="13.2">
      <c r="P228" s="46"/>
      <c r="Q228" s="46"/>
      <c r="S228" s="128"/>
      <c r="T228" s="128"/>
      <c r="V228" s="75">
        <v>0</v>
      </c>
      <c r="W228" s="75">
        <v>0</v>
      </c>
      <c r="X228" s="20">
        <f>'res bld calcs'!G219-R228</f>
        <v>0</v>
      </c>
      <c r="Y228" s="128">
        <f t="shared" ref="Y228:Z228" si="367">$X228*V228</f>
        <v>0</v>
      </c>
      <c r="Z228" s="128">
        <f t="shared" si="367"/>
        <v>0</v>
      </c>
    </row>
    <row r="229" spans="16:26" ht="13.2">
      <c r="P229" s="46"/>
      <c r="Q229" s="46"/>
      <c r="S229" s="128"/>
      <c r="T229" s="128"/>
      <c r="V229" s="75">
        <v>0</v>
      </c>
      <c r="W229" s="75">
        <v>0</v>
      </c>
      <c r="X229" s="20">
        <f>'res bld calcs'!G220-R229</f>
        <v>0</v>
      </c>
      <c r="Y229" s="128">
        <f t="shared" ref="Y229:Z229" si="368">$X229*V229</f>
        <v>0</v>
      </c>
      <c r="Z229" s="128">
        <f t="shared" si="368"/>
        <v>0</v>
      </c>
    </row>
    <row r="230" spans="16:26" ht="13.2">
      <c r="P230" s="46"/>
      <c r="Q230" s="46"/>
      <c r="S230" s="128"/>
      <c r="T230" s="128"/>
      <c r="V230" s="75">
        <v>0</v>
      </c>
      <c r="W230" s="75">
        <v>0</v>
      </c>
      <c r="X230" s="20">
        <f>'res bld calcs'!G221-R230</f>
        <v>0</v>
      </c>
      <c r="Y230" s="128">
        <f t="shared" ref="Y230:Z230" si="369">$X230*V230</f>
        <v>0</v>
      </c>
      <c r="Z230" s="128">
        <f t="shared" si="369"/>
        <v>0</v>
      </c>
    </row>
    <row r="231" spans="16:26" ht="13.2">
      <c r="P231" s="46"/>
      <c r="Q231" s="46"/>
      <c r="S231" s="128"/>
      <c r="T231" s="128"/>
      <c r="V231" s="75">
        <v>0</v>
      </c>
      <c r="W231" s="75">
        <v>0</v>
      </c>
      <c r="X231" s="20">
        <f>'res bld calcs'!G222-R231</f>
        <v>0</v>
      </c>
      <c r="Y231" s="128">
        <f t="shared" ref="Y231:Z231" si="370">$X231*V231</f>
        <v>0</v>
      </c>
      <c r="Z231" s="128">
        <f t="shared" si="370"/>
        <v>0</v>
      </c>
    </row>
    <row r="232" spans="16:26" ht="13.2">
      <c r="P232" s="46"/>
      <c r="Q232" s="46"/>
      <c r="S232" s="128"/>
      <c r="T232" s="128"/>
      <c r="V232" s="75">
        <v>0</v>
      </c>
      <c r="W232" s="75">
        <v>0</v>
      </c>
      <c r="X232" s="20">
        <f>'res bld calcs'!G223-R232</f>
        <v>0</v>
      </c>
      <c r="Y232" s="128">
        <f t="shared" ref="Y232:Z232" si="371">$X232*V232</f>
        <v>0</v>
      </c>
      <c r="Z232" s="128">
        <f t="shared" si="371"/>
        <v>0</v>
      </c>
    </row>
    <row r="233" spans="16:26" ht="13.2">
      <c r="P233" s="46"/>
      <c r="Q233" s="46"/>
      <c r="S233" s="128"/>
      <c r="T233" s="128"/>
      <c r="V233" s="75">
        <v>0</v>
      </c>
      <c r="W233" s="75">
        <v>0</v>
      </c>
      <c r="X233" s="20">
        <f>'res bld calcs'!G224-R233</f>
        <v>0</v>
      </c>
      <c r="Y233" s="128">
        <f t="shared" ref="Y233:Z233" si="372">$X233*V233</f>
        <v>0</v>
      </c>
      <c r="Z233" s="128">
        <f t="shared" si="372"/>
        <v>0</v>
      </c>
    </row>
    <row r="234" spans="16:26" ht="13.2">
      <c r="P234" s="46"/>
      <c r="Q234" s="46"/>
      <c r="S234" s="128"/>
      <c r="T234" s="128"/>
      <c r="V234" s="75">
        <v>0</v>
      </c>
      <c r="W234" s="75">
        <v>0</v>
      </c>
      <c r="X234" s="20">
        <f>'res bld calcs'!G225-R234</f>
        <v>0</v>
      </c>
      <c r="Y234" s="128">
        <f t="shared" ref="Y234:Z234" si="373">$X234*V234</f>
        <v>0</v>
      </c>
      <c r="Z234" s="128">
        <f t="shared" si="373"/>
        <v>0</v>
      </c>
    </row>
    <row r="235" spans="16:26" ht="13.2">
      <c r="P235" s="46"/>
      <c r="Q235" s="46"/>
      <c r="S235" s="128"/>
      <c r="T235" s="128"/>
      <c r="V235" s="75">
        <v>0</v>
      </c>
      <c r="W235" s="75">
        <v>0</v>
      </c>
      <c r="X235" s="20">
        <f>'res bld calcs'!G226-R235</f>
        <v>0</v>
      </c>
      <c r="Y235" s="128">
        <f t="shared" ref="Y235:Z235" si="374">$X235*V235</f>
        <v>0</v>
      </c>
      <c r="Z235" s="128">
        <f t="shared" si="374"/>
        <v>0</v>
      </c>
    </row>
  </sheetData>
  <mergeCells count="2">
    <mergeCell ref="J35:K35"/>
    <mergeCell ref="I9:K9"/>
  </mergeCells>
  <conditionalFormatting sqref="F10:F34 F38:F41">
    <cfRule type="cellIs" dxfId="9" priority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F0"/>
    <outlinePr summaryBelow="0" summaryRight="0"/>
  </sheetPr>
  <dimension ref="A1:AA682"/>
  <sheetViews>
    <sheetView topLeftCell="G1" workbookViewId="0">
      <pane ySplit="7" topLeftCell="A8" activePane="bottomLeft" state="frozen"/>
      <selection activeCell="B2" sqref="B2:H2"/>
      <selection pane="bottomLeft" activeCell="C8" sqref="C8"/>
    </sheetView>
  </sheetViews>
  <sheetFormatPr defaultColWidth="12.5546875" defaultRowHeight="15.75" customHeight="1"/>
  <cols>
    <col min="1" max="1" width="31.6640625" customWidth="1"/>
    <col min="2" max="2" width="21.33203125" customWidth="1"/>
    <col min="3" max="3" width="23" customWidth="1"/>
    <col min="4" max="5" width="10.44140625" customWidth="1"/>
    <col min="6" max="6" width="11.109375" customWidth="1"/>
    <col min="7" max="7" width="10" customWidth="1"/>
    <col min="8" max="8" width="9.6640625" customWidth="1"/>
    <col min="9" max="9" width="18.109375" customWidth="1"/>
  </cols>
  <sheetData>
    <row r="1" spans="1:27" s="255" customFormat="1" ht="27.6" customHeight="1">
      <c r="A1" s="255" t="s">
        <v>744</v>
      </c>
    </row>
    <row r="2" spans="1:27" ht="13.2">
      <c r="B2" s="251" t="s">
        <v>2</v>
      </c>
      <c r="C2" s="252">
        <f>'Project Reductions Details'!C3</f>
        <v>2050</v>
      </c>
      <c r="J2" s="20"/>
      <c r="Q2" s="20"/>
      <c r="T2" s="20"/>
      <c r="U2" s="20"/>
    </row>
    <row r="3" spans="1:27" ht="13.2">
      <c r="B3" s="20" t="s">
        <v>554</v>
      </c>
      <c r="C3" s="145">
        <f>'Project Reductions Details'!B25</f>
        <v>0.5</v>
      </c>
      <c r="F3" s="20" t="s">
        <v>555</v>
      </c>
      <c r="G3" s="20">
        <f>'Project Reductions Details'!B29</f>
        <v>3</v>
      </c>
      <c r="I3" s="126"/>
      <c r="K3" s="22"/>
      <c r="Q3" s="20"/>
      <c r="T3" s="20"/>
      <c r="U3" s="20"/>
    </row>
    <row r="4" spans="1:27" ht="13.2">
      <c r="B4" s="20" t="s">
        <v>556</v>
      </c>
      <c r="C4" s="145">
        <f>'Project Reductions Details'!B26</f>
        <v>0</v>
      </c>
      <c r="F4" s="73" t="s">
        <v>574</v>
      </c>
      <c r="G4" s="125">
        <v>3000</v>
      </c>
      <c r="H4" s="20"/>
      <c r="I4" s="73"/>
      <c r="Q4" s="20"/>
      <c r="T4" s="20"/>
      <c r="U4" s="20"/>
    </row>
    <row r="5" spans="1:27" ht="13.2">
      <c r="B5" s="20" t="s">
        <v>557</v>
      </c>
      <c r="C5" s="145" t="str">
        <f>'Project Reductions Details'!B27</f>
        <v>No</v>
      </c>
      <c r="G5" s="20"/>
      <c r="H5" s="20"/>
      <c r="I5" s="73"/>
      <c r="Q5" s="20"/>
      <c r="T5" s="20"/>
      <c r="U5" s="20"/>
    </row>
    <row r="6" spans="1:27" ht="13.2">
      <c r="B6" s="20" t="s">
        <v>558</v>
      </c>
      <c r="C6" s="145" t="str">
        <f>'Project Reductions Details'!B28</f>
        <v>No</v>
      </c>
      <c r="G6" s="20"/>
      <c r="H6" s="20"/>
      <c r="Q6" s="20"/>
      <c r="T6" s="20"/>
      <c r="U6" s="20"/>
    </row>
    <row r="7" spans="1:27" ht="13.2">
      <c r="B7" s="73" t="s">
        <v>559</v>
      </c>
      <c r="C7" s="95">
        <f ca="1">'Project #2 - Virtual Power Plan'!I20/('res bld calcs'!P4*1000000)</f>
        <v>9.9920280105977491E-2</v>
      </c>
      <c r="Q7" s="20"/>
      <c r="T7" s="20"/>
      <c r="U7" s="20"/>
    </row>
    <row r="8" spans="1:27" ht="13.2">
      <c r="B8" s="20"/>
      <c r="D8" s="20" t="s">
        <v>575</v>
      </c>
      <c r="E8" s="20" t="s">
        <v>576</v>
      </c>
      <c r="F8" s="20" t="s">
        <v>577</v>
      </c>
      <c r="I8" s="45" t="s">
        <v>411</v>
      </c>
      <c r="Q8" s="20" t="s">
        <v>564</v>
      </c>
      <c r="W8" s="20" t="s">
        <v>565</v>
      </c>
    </row>
    <row r="9" spans="1:27" ht="13.2">
      <c r="A9" s="108" t="str">
        <f t="shared" ref="A9:A50" si="0">B9&amp;C9</f>
        <v>Greenefullservicerestaurant</v>
      </c>
      <c r="B9" s="20" t="s">
        <v>5</v>
      </c>
      <c r="C9" s="21" t="s">
        <v>428</v>
      </c>
      <c r="D9" s="125"/>
      <c r="E9" s="21">
        <f t="shared" ref="E9:E50" si="1">D9*$G$4</f>
        <v>0</v>
      </c>
      <c r="F9" s="21">
        <f ca="1">SUMIF('nres bld data'!$A$3:$A$38,"="&amp;B9&amp;C9,'nres bld data'!$D$3:$D$38)</f>
        <v>61962</v>
      </c>
      <c r="G9" s="124">
        <f t="shared" ref="G9:G51" ca="1" si="2">F9-E9</f>
        <v>61962</v>
      </c>
      <c r="I9" s="20">
        <f t="array" ref="I9:L10">'nres bld calcs'!L6:O7</f>
        <v>0</v>
      </c>
      <c r="J9" s="146" t="str">
        <v>Electricity</v>
      </c>
      <c r="K9" s="146" t="str">
        <v>Natural Gas</v>
      </c>
      <c r="L9" s="147" t="str">
        <v>Total</v>
      </c>
      <c r="Q9" s="20" t="s">
        <v>399</v>
      </c>
      <c r="T9" s="20" t="s">
        <v>400</v>
      </c>
      <c r="U9" s="20" t="s">
        <v>400</v>
      </c>
      <c r="W9" s="20" t="s">
        <v>465</v>
      </c>
      <c r="Z9" s="20" t="s">
        <v>400</v>
      </c>
      <c r="AA9" s="20" t="s">
        <v>400</v>
      </c>
    </row>
    <row r="10" spans="1:27" ht="13.2">
      <c r="A10" s="108" t="str">
        <f t="shared" si="0"/>
        <v>Greenehospital</v>
      </c>
      <c r="B10" s="20" t="s">
        <v>5</v>
      </c>
      <c r="C10" s="21" t="s">
        <v>449</v>
      </c>
      <c r="D10" s="125"/>
      <c r="E10" s="21">
        <f t="shared" si="1"/>
        <v>0</v>
      </c>
      <c r="F10" s="21">
        <f>SUMIF('nres bld data'!$A$3:$A$38,"="&amp;B10&amp;C10,'nres bld data'!$D$3:$D$38)</f>
        <v>0</v>
      </c>
      <c r="G10" s="124">
        <f t="shared" si="2"/>
        <v>0</v>
      </c>
      <c r="I10" s="148" t="str">
        <v>Energy Use (MMBTU)</v>
      </c>
      <c r="J10" s="149">
        <v>11551480.979267819</v>
      </c>
      <c r="K10" s="149">
        <v>13071843.354</v>
      </c>
      <c r="L10" s="150">
        <v>24623324.333267819</v>
      </c>
      <c r="N10" s="20" t="s">
        <v>27</v>
      </c>
      <c r="O10" s="20" t="s">
        <v>403</v>
      </c>
      <c r="P10" s="20" t="s">
        <v>404</v>
      </c>
      <c r="Q10" s="20" t="s">
        <v>283</v>
      </c>
      <c r="R10" s="20" t="s">
        <v>363</v>
      </c>
      <c r="S10" s="20" t="s">
        <v>466</v>
      </c>
      <c r="T10" s="20" t="s">
        <v>0</v>
      </c>
      <c r="U10" s="20" t="s">
        <v>14</v>
      </c>
      <c r="W10" s="20" t="s">
        <v>283</v>
      </c>
      <c r="X10" s="20" t="s">
        <v>363</v>
      </c>
      <c r="Y10" s="20" t="s">
        <v>466</v>
      </c>
      <c r="Z10" s="20" t="s">
        <v>0</v>
      </c>
      <c r="AA10" s="20" t="s">
        <v>14</v>
      </c>
    </row>
    <row r="11" spans="1:27" ht="13.2">
      <c r="A11" s="108" t="str">
        <f t="shared" si="0"/>
        <v>Greenelargehotel</v>
      </c>
      <c r="B11" s="20" t="s">
        <v>5</v>
      </c>
      <c r="C11" s="21" t="s">
        <v>458</v>
      </c>
      <c r="D11" s="125"/>
      <c r="E11" s="21">
        <f t="shared" si="1"/>
        <v>0</v>
      </c>
      <c r="F11" s="21">
        <f>SUMIF('nres bld data'!$A$3:$A$38,"="&amp;B11&amp;C11,'nres bld data'!$D$3:$D$38)</f>
        <v>0</v>
      </c>
      <c r="G11" s="124">
        <f t="shared" si="2"/>
        <v>0</v>
      </c>
      <c r="I11" s="151" t="s">
        <v>409</v>
      </c>
      <c r="J11" s="152">
        <f ca="1">J10*C7</f>
        <v>1154227.2150873116</v>
      </c>
      <c r="K11" s="152">
        <f>K10*'Emissions Factors'!E52</f>
        <v>693831.2230966182</v>
      </c>
      <c r="L11" s="153">
        <f ca="1">SUM(J11:K11)</f>
        <v>1848058.4381839298</v>
      </c>
      <c r="N11" s="20" t="str">
        <f t="array" ref="N11:P262">'nres bld calcs'!B3:D254</f>
        <v>Greene</v>
      </c>
      <c r="O11" s="20" t="str">
        <v>fullservicerestaurant</v>
      </c>
      <c r="P11" s="20" t="str">
        <v>Aux_Equip</v>
      </c>
      <c r="Q11" s="119">
        <f t="shared" ref="Q11:R11" ca="1" si="3">(1-$C$4)*W11</f>
        <v>1.0121189177958637E-2</v>
      </c>
      <c r="R11" s="119">
        <f t="shared" ca="1" si="3"/>
        <v>2.0192554094828938E-2</v>
      </c>
      <c r="S11" s="20">
        <f t="shared" ref="S11:S262" si="4">IFERROR(VLOOKUP(N11&amp;O11,$A$9:$E$40,5,FALSE),0)</f>
        <v>0</v>
      </c>
      <c r="T11" s="128">
        <f t="shared" ref="T11:U11" ca="1" si="5">$S11*Q11</f>
        <v>0</v>
      </c>
      <c r="U11" s="128">
        <f t="shared" ca="1" si="5"/>
        <v>0</v>
      </c>
      <c r="W11" s="55">
        <f t="array" aca="1" ref="W11:X262" ca="1">'nres bld calcs'!E3:F254</f>
        <v>1.0121189177958637E-2</v>
      </c>
      <c r="X11" s="55">
        <f ca="1"/>
        <v>2.0192554094828938E-2</v>
      </c>
      <c r="Y11" s="21">
        <f ca="1">'nres bld calcs'!G3-S11</f>
        <v>61962</v>
      </c>
      <c r="Z11" s="128">
        <f t="shared" ref="Z11:AA11" ca="1" si="6">$Y11*W11</f>
        <v>627.12912384467302</v>
      </c>
      <c r="AA11" s="128">
        <f t="shared" ca="1" si="6"/>
        <v>1251.1710368237907</v>
      </c>
    </row>
    <row r="12" spans="1:27" ht="13.2">
      <c r="A12" s="108" t="str">
        <f t="shared" si="0"/>
        <v>Greenelargeoffice</v>
      </c>
      <c r="B12" s="20" t="s">
        <v>5</v>
      </c>
      <c r="C12" s="21" t="s">
        <v>460</v>
      </c>
      <c r="D12" s="125"/>
      <c r="E12" s="21">
        <f t="shared" si="1"/>
        <v>0</v>
      </c>
      <c r="F12" s="21">
        <f>SUMIF('nres bld data'!$A$3:$A$38,"="&amp;B12&amp;C12,'nres bld data'!$D$3:$D$38)</f>
        <v>0</v>
      </c>
      <c r="G12" s="124">
        <f t="shared" si="2"/>
        <v>0</v>
      </c>
      <c r="N12" s="20" t="str">
        <v>Greene</v>
      </c>
      <c r="O12" s="20" t="str">
        <v>fullservicerestaurant</v>
      </c>
      <c r="P12" s="20" t="str">
        <v>Aux_Motors</v>
      </c>
      <c r="Q12" s="119">
        <f t="shared" ref="Q12:R12" ca="1" si="7">(1-$C$4)*W12</f>
        <v>8.6774019198583956E-3</v>
      </c>
      <c r="R12" s="119">
        <f t="shared" ca="1" si="7"/>
        <v>0</v>
      </c>
      <c r="S12" s="20">
        <f t="shared" si="4"/>
        <v>0</v>
      </c>
      <c r="T12" s="128">
        <f t="shared" ref="T12:U12" ca="1" si="8">$S12*Q12</f>
        <v>0</v>
      </c>
      <c r="U12" s="128">
        <f t="shared" ca="1" si="8"/>
        <v>0</v>
      </c>
      <c r="W12" s="55">
        <f ca="1"/>
        <v>8.6774019198583956E-3</v>
      </c>
      <c r="X12" s="55">
        <f ca="1"/>
        <v>0</v>
      </c>
      <c r="Y12" s="21">
        <f ca="1">'nres bld calcs'!G4-S12</f>
        <v>61962</v>
      </c>
      <c r="Z12" s="128">
        <f t="shared" ref="Z12:AA12" ca="1" si="9">$Y12*W12</f>
        <v>537.66917775826596</v>
      </c>
      <c r="AA12" s="128">
        <f t="shared" ca="1" si="9"/>
        <v>0</v>
      </c>
    </row>
    <row r="13" spans="1:27" ht="13.2">
      <c r="A13" s="108" t="str">
        <f t="shared" si="0"/>
        <v>Greenemediumoffice</v>
      </c>
      <c r="B13" s="20" t="s">
        <v>5</v>
      </c>
      <c r="C13" s="21" t="s">
        <v>434</v>
      </c>
      <c r="D13" s="125"/>
      <c r="E13" s="21">
        <f t="shared" si="1"/>
        <v>0</v>
      </c>
      <c r="F13" s="21">
        <f ca="1">SUMIF('nres bld data'!$A$3:$A$38,"="&amp;B13&amp;C13,'nres bld data'!$D$3:$D$38)</f>
        <v>14261377</v>
      </c>
      <c r="G13" s="124">
        <f t="shared" ca="1" si="2"/>
        <v>14261377</v>
      </c>
      <c r="I13" s="45" t="s">
        <v>522</v>
      </c>
      <c r="N13" s="20" t="str">
        <v>Greene</v>
      </c>
      <c r="O13" s="20" t="str">
        <v>fullservicerestaurant</v>
      </c>
      <c r="P13" s="20" t="str">
        <v>Lighting</v>
      </c>
      <c r="Q13" s="119">
        <f t="shared" ref="Q13:R13" ca="1" si="10">(1-$C$4)*W13</f>
        <v>3.895178455226364E-3</v>
      </c>
      <c r="R13" s="119">
        <f t="shared" ca="1" si="10"/>
        <v>0</v>
      </c>
      <c r="S13" s="20">
        <f t="shared" si="4"/>
        <v>0</v>
      </c>
      <c r="T13" s="128">
        <f t="shared" ref="T13:U13" ca="1" si="11">$S13*Q13</f>
        <v>0</v>
      </c>
      <c r="U13" s="128">
        <f t="shared" ca="1" si="11"/>
        <v>0</v>
      </c>
      <c r="W13" s="55">
        <f ca="1"/>
        <v>3.895178455226364E-3</v>
      </c>
      <c r="X13" s="55">
        <f ca="1"/>
        <v>0</v>
      </c>
      <c r="Y13" s="21">
        <f ca="1">'nres bld calcs'!G5-S13</f>
        <v>61962</v>
      </c>
      <c r="Z13" s="128">
        <f t="shared" ref="Z13:AA13" ca="1" si="12">$Y13*W13</f>
        <v>241.35304744273597</v>
      </c>
      <c r="AA13" s="128">
        <f t="shared" ca="1" si="12"/>
        <v>0</v>
      </c>
    </row>
    <row r="14" spans="1:27" ht="13.2">
      <c r="A14" s="108" t="str">
        <f t="shared" si="0"/>
        <v>Greeneoutpatient</v>
      </c>
      <c r="B14" s="20" t="s">
        <v>5</v>
      </c>
      <c r="C14" s="21" t="s">
        <v>461</v>
      </c>
      <c r="D14" s="125"/>
      <c r="E14" s="21">
        <f t="shared" si="1"/>
        <v>0</v>
      </c>
      <c r="F14" s="21">
        <f>SUMIF('nres bld data'!$A$3:$A$38,"="&amp;B14&amp;C14,'nres bld data'!$D$3:$D$38)</f>
        <v>0</v>
      </c>
      <c r="G14" s="124">
        <f t="shared" si="2"/>
        <v>0</v>
      </c>
      <c r="J14" s="146" t="s">
        <v>0</v>
      </c>
      <c r="K14" s="146" t="s">
        <v>14</v>
      </c>
      <c r="L14" s="147" t="s">
        <v>32</v>
      </c>
      <c r="N14" s="20" t="str">
        <v>Greene</v>
      </c>
      <c r="O14" s="20" t="str">
        <v>fullservicerestaurant</v>
      </c>
      <c r="P14" s="20" t="str">
        <v>Space_Cooling</v>
      </c>
      <c r="Q14" s="119">
        <f t="shared" ref="Q14:R14" ca="1" si="13">(1-$C$4)*W14</f>
        <v>3.739342632713665E-3</v>
      </c>
      <c r="R14" s="119">
        <f t="shared" ca="1" si="13"/>
        <v>0</v>
      </c>
      <c r="S14" s="20">
        <f t="shared" si="4"/>
        <v>0</v>
      </c>
      <c r="T14" s="128">
        <f t="shared" ref="T14:U14" ca="1" si="14">$S14*Q14</f>
        <v>0</v>
      </c>
      <c r="U14" s="128">
        <f t="shared" ca="1" si="14"/>
        <v>0</v>
      </c>
      <c r="W14" s="55">
        <f ca="1"/>
        <v>3.739342632713665E-3</v>
      </c>
      <c r="X14" s="55">
        <f ca="1"/>
        <v>0</v>
      </c>
      <c r="Y14" s="21">
        <f ca="1">'nres bld calcs'!G6-S14</f>
        <v>61962</v>
      </c>
      <c r="Z14" s="128">
        <f t="shared" ref="Z14:AA14" ca="1" si="15">$Y14*W14</f>
        <v>231.69714820820411</v>
      </c>
      <c r="AA14" s="128">
        <f t="shared" ca="1" si="15"/>
        <v>0</v>
      </c>
    </row>
    <row r="15" spans="1:27" ht="13.2">
      <c r="A15" s="108" t="str">
        <f t="shared" si="0"/>
        <v>Greeneprimaryschool</v>
      </c>
      <c r="B15" s="20" t="s">
        <v>5</v>
      </c>
      <c r="C15" s="21" t="s">
        <v>446</v>
      </c>
      <c r="D15" s="125"/>
      <c r="E15" s="21">
        <f t="shared" si="1"/>
        <v>0</v>
      </c>
      <c r="F15" s="21">
        <f ca="1">SUMIF('nres bld data'!$A$3:$A$38,"="&amp;B15&amp;C15,'nres bld data'!$D$3:$D$38)</f>
        <v>7182875</v>
      </c>
      <c r="G15" s="124">
        <f t="shared" ca="1" si="2"/>
        <v>7182875</v>
      </c>
      <c r="I15" s="148" t="s">
        <v>407</v>
      </c>
      <c r="J15" s="149">
        <f t="shared" ref="J15:K15" ca="1" si="16">SUM(T11:T262)+SUM(Z11:Z262)</f>
        <v>11550839.760008832</v>
      </c>
      <c r="K15" s="149">
        <f t="shared" ca="1" si="16"/>
        <v>13065719.126563674</v>
      </c>
      <c r="L15" s="150">
        <f t="shared" ref="L15:L16" ca="1" si="17">J15+K15</f>
        <v>24616558.886572506</v>
      </c>
      <c r="N15" s="20" t="str">
        <v>Greene</v>
      </c>
      <c r="O15" s="20" t="str">
        <v>fullservicerestaurant</v>
      </c>
      <c r="P15" s="20" t="str">
        <v>Space_Heating</v>
      </c>
      <c r="Q15" s="119">
        <f ca="1">IF($C$5="Yes",((1-$C$3)*X15/$G$3)+W15,(1-$C$3)*W15)</f>
        <v>1.4416970422005907E-3</v>
      </c>
      <c r="R15" s="119">
        <f ca="1">IF($C$5="Yes",0,(1-$C$3)*X15)</f>
        <v>5.272147219207976E-3</v>
      </c>
      <c r="S15" s="20">
        <f t="shared" si="4"/>
        <v>0</v>
      </c>
      <c r="T15" s="128">
        <f t="shared" ref="T15:U15" ca="1" si="18">$S15*Q15</f>
        <v>0</v>
      </c>
      <c r="U15" s="128">
        <f t="shared" ca="1" si="18"/>
        <v>0</v>
      </c>
      <c r="W15" s="55">
        <f ca="1"/>
        <v>2.8833940844011814E-3</v>
      </c>
      <c r="X15" s="55">
        <f ca="1"/>
        <v>1.0544294438415952E-2</v>
      </c>
      <c r="Y15" s="21">
        <f ca="1">'nres bld calcs'!G7-S15</f>
        <v>61962</v>
      </c>
      <c r="Z15" s="128">
        <f t="shared" ref="Z15:AA15" ca="1" si="19">$Y15*W15</f>
        <v>178.66086425766599</v>
      </c>
      <c r="AA15" s="128">
        <f t="shared" ca="1" si="19"/>
        <v>653.34557199312917</v>
      </c>
    </row>
    <row r="16" spans="1:27" ht="13.2">
      <c r="A16" s="108" t="str">
        <f t="shared" si="0"/>
        <v>Greenequickservicerestaurant</v>
      </c>
      <c r="B16" s="20" t="s">
        <v>5</v>
      </c>
      <c r="C16" s="20" t="s">
        <v>457</v>
      </c>
      <c r="D16" s="125"/>
      <c r="E16" s="21">
        <f t="shared" si="1"/>
        <v>0</v>
      </c>
      <c r="F16" s="21">
        <f ca="1">SUMIF('nres bld data'!$A$3:$A$38,"="&amp;B16&amp;C16,'nres bld data'!$D$3:$D$38)</f>
        <v>8123090</v>
      </c>
      <c r="G16" s="124">
        <f t="shared" ca="1" si="2"/>
        <v>8123090</v>
      </c>
      <c r="I16" s="151" t="s">
        <v>409</v>
      </c>
      <c r="J16" s="152">
        <f ca="1">J15*C7</f>
        <v>1154163.1442793442</v>
      </c>
      <c r="K16" s="152">
        <f ca="1">K15*'res bld calcs'!$P$12</f>
        <v>693506.15951548459</v>
      </c>
      <c r="L16" s="153">
        <f t="shared" ca="1" si="17"/>
        <v>1847669.3037948287</v>
      </c>
      <c r="N16" s="20" t="str">
        <v>Greene</v>
      </c>
      <c r="O16" s="20" t="str">
        <v>fullservicerestaurant</v>
      </c>
      <c r="P16" s="20" t="str">
        <v>Water_Heating</v>
      </c>
      <c r="Q16" s="119">
        <f ca="1">IF($C$6="Yes",((1-$C$4)*X16/$G$3)+W16,(1-$C$4)*W16)</f>
        <v>4.2737837683423938E-3</v>
      </c>
      <c r="R16" s="119">
        <f ca="1">IF($C$6="Yes",0,(1-$C$4)*X16)</f>
        <v>9.698445728679372E-3</v>
      </c>
      <c r="S16" s="20">
        <f t="shared" si="4"/>
        <v>0</v>
      </c>
      <c r="T16" s="128">
        <f t="shared" ref="T16:U16" ca="1" si="20">$S16*Q16</f>
        <v>0</v>
      </c>
      <c r="U16" s="128">
        <f t="shared" ca="1" si="20"/>
        <v>0</v>
      </c>
      <c r="W16" s="55">
        <f ca="1"/>
        <v>4.2737837683423938E-3</v>
      </c>
      <c r="X16" s="55">
        <f ca="1"/>
        <v>9.698445728679372E-3</v>
      </c>
      <c r="Y16" s="21">
        <f ca="1">'nres bld calcs'!G8-S16</f>
        <v>61962</v>
      </c>
      <c r="Z16" s="128">
        <f t="shared" ref="Z16:AA16" ca="1" si="21">$Y16*W16</f>
        <v>264.81218985403143</v>
      </c>
      <c r="AA16" s="128">
        <f t="shared" ca="1" si="21"/>
        <v>600.93509424043123</v>
      </c>
    </row>
    <row r="17" spans="1:27" ht="13.2">
      <c r="A17" s="108" t="str">
        <f t="shared" si="0"/>
        <v>Greeneretailstandalone</v>
      </c>
      <c r="B17" s="20" t="s">
        <v>5</v>
      </c>
      <c r="C17" s="20" t="s">
        <v>430</v>
      </c>
      <c r="D17" s="125"/>
      <c r="E17" s="21">
        <f t="shared" si="1"/>
        <v>0</v>
      </c>
      <c r="F17" s="21">
        <f ca="1">SUMIF('nres bld data'!$A$3:$A$38,"="&amp;B17&amp;C17,'nres bld data'!$D$3:$D$38)</f>
        <v>16112615</v>
      </c>
      <c r="G17" s="124">
        <f t="shared" ca="1" si="2"/>
        <v>16112615</v>
      </c>
      <c r="N17" s="20" t="str">
        <v>Greene</v>
      </c>
      <c r="O17" s="20" t="str">
        <v>hospital</v>
      </c>
      <c r="P17" s="20" t="str">
        <v>Aux_Equip</v>
      </c>
      <c r="Q17" s="119">
        <f t="shared" ref="Q17:R17" ca="1" si="22">(1-$C$4)*W17</f>
        <v>0</v>
      </c>
      <c r="R17" s="119">
        <f t="shared" ca="1" si="22"/>
        <v>0</v>
      </c>
      <c r="S17" s="20">
        <f t="shared" si="4"/>
        <v>0</v>
      </c>
      <c r="T17" s="128">
        <f t="shared" ref="T17:U17" ca="1" si="23">$S17*Q17</f>
        <v>0</v>
      </c>
      <c r="U17" s="128">
        <f t="shared" ca="1" si="23"/>
        <v>0</v>
      </c>
      <c r="W17" s="55">
        <f ca="1"/>
        <v>0</v>
      </c>
      <c r="X17" s="55">
        <f ca="1"/>
        <v>0</v>
      </c>
      <c r="Y17" s="21">
        <f>'nres bld calcs'!G9-S17</f>
        <v>0</v>
      </c>
      <c r="Z17" s="128">
        <f t="shared" ref="Z17:AA17" ca="1" si="24">$Y17*W17</f>
        <v>0</v>
      </c>
      <c r="AA17" s="128">
        <f t="shared" ca="1" si="24"/>
        <v>0</v>
      </c>
    </row>
    <row r="18" spans="1:27" ht="13.2">
      <c r="A18" s="108" t="str">
        <f t="shared" si="0"/>
        <v>Greeneretailstripmall</v>
      </c>
      <c r="B18" s="20" t="s">
        <v>5</v>
      </c>
      <c r="C18" s="20" t="s">
        <v>462</v>
      </c>
      <c r="D18" s="125"/>
      <c r="E18" s="21">
        <f t="shared" si="1"/>
        <v>0</v>
      </c>
      <c r="F18" s="21">
        <f>SUMIF('nres bld data'!$A$3:$A$38,"="&amp;B18&amp;C18,'nres bld data'!$D$3:$D$38)</f>
        <v>0</v>
      </c>
      <c r="G18" s="124">
        <f t="shared" si="2"/>
        <v>0</v>
      </c>
      <c r="I18" s="2" t="s">
        <v>578</v>
      </c>
      <c r="N18" s="20" t="str">
        <v>Greene</v>
      </c>
      <c r="O18" s="20" t="str">
        <v>hospital</v>
      </c>
      <c r="P18" s="20" t="str">
        <v>Aux_Motors</v>
      </c>
      <c r="Q18" s="119">
        <f t="shared" ref="Q18:R18" ca="1" si="25">(1-$C$4)*W18</f>
        <v>0</v>
      </c>
      <c r="R18" s="119">
        <f t="shared" ca="1" si="25"/>
        <v>0</v>
      </c>
      <c r="S18" s="20">
        <f t="shared" si="4"/>
        <v>0</v>
      </c>
      <c r="T18" s="128">
        <f t="shared" ref="T18:U18" ca="1" si="26">$S18*Q18</f>
        <v>0</v>
      </c>
      <c r="U18" s="128">
        <f t="shared" ca="1" si="26"/>
        <v>0</v>
      </c>
      <c r="W18" s="55">
        <f ca="1"/>
        <v>0</v>
      </c>
      <c r="X18" s="55">
        <f ca="1"/>
        <v>0</v>
      </c>
      <c r="Y18" s="21">
        <f>'nres bld calcs'!G10-S18</f>
        <v>0</v>
      </c>
      <c r="Z18" s="128">
        <f t="shared" ref="Z18:AA18" ca="1" si="27">$Y18*W18</f>
        <v>0</v>
      </c>
      <c r="AA18" s="128">
        <f t="shared" ca="1" si="27"/>
        <v>0</v>
      </c>
    </row>
    <row r="19" spans="1:27" ht="13.2">
      <c r="A19" s="108" t="str">
        <f t="shared" si="0"/>
        <v>Greenesecondaryschool</v>
      </c>
      <c r="B19" s="20" t="s">
        <v>5</v>
      </c>
      <c r="C19" s="20" t="s">
        <v>463</v>
      </c>
      <c r="D19" s="125"/>
      <c r="E19" s="21">
        <f t="shared" si="1"/>
        <v>0</v>
      </c>
      <c r="F19" s="21">
        <f>SUMIF('nres bld data'!$A$3:$A$38,"="&amp;B19&amp;C19,'nres bld data'!$D$3:$D$38)</f>
        <v>0</v>
      </c>
      <c r="G19" s="124">
        <f t="shared" si="2"/>
        <v>0</v>
      </c>
      <c r="I19" s="157" t="s">
        <v>409</v>
      </c>
      <c r="J19" s="154">
        <f t="shared" ref="J19:L19" ca="1" si="28">J11-J16</f>
        <v>64.070807967334986</v>
      </c>
      <c r="K19" s="154">
        <f t="shared" ca="1" si="28"/>
        <v>325.06358113361057</v>
      </c>
      <c r="L19" s="154">
        <f t="shared" ca="1" si="28"/>
        <v>389.13438910106197</v>
      </c>
      <c r="N19" s="20" t="str">
        <v>Greene</v>
      </c>
      <c r="O19" s="20" t="str">
        <v>hospital</v>
      </c>
      <c r="P19" s="20" t="str">
        <v>Lighting</v>
      </c>
      <c r="Q19" s="119">
        <f t="shared" ref="Q19:R19" ca="1" si="29">(1-$C$4)*W19</f>
        <v>0</v>
      </c>
      <c r="R19" s="119">
        <f t="shared" ca="1" si="29"/>
        <v>0</v>
      </c>
      <c r="S19" s="20">
        <f t="shared" si="4"/>
        <v>0</v>
      </c>
      <c r="T19" s="128">
        <f t="shared" ref="T19:U19" ca="1" si="30">$S19*Q19</f>
        <v>0</v>
      </c>
      <c r="U19" s="128">
        <f t="shared" ca="1" si="30"/>
        <v>0</v>
      </c>
      <c r="W19" s="55">
        <f ca="1"/>
        <v>0</v>
      </c>
      <c r="X19" s="55">
        <f ca="1"/>
        <v>0</v>
      </c>
      <c r="Y19" s="21">
        <f>'nres bld calcs'!G11-S19</f>
        <v>0</v>
      </c>
      <c r="Z19" s="128">
        <f t="shared" ref="Z19:AA19" ca="1" si="31">$Y19*W19</f>
        <v>0</v>
      </c>
      <c r="AA19" s="128">
        <f t="shared" ca="1" si="31"/>
        <v>0</v>
      </c>
    </row>
    <row r="20" spans="1:27" ht="13.2">
      <c r="A20" s="108" t="str">
        <f t="shared" si="0"/>
        <v>Greenesmallhotel</v>
      </c>
      <c r="B20" s="20" t="s">
        <v>5</v>
      </c>
      <c r="C20" s="20" t="s">
        <v>438</v>
      </c>
      <c r="D20" s="125"/>
      <c r="E20" s="21">
        <f t="shared" si="1"/>
        <v>0</v>
      </c>
      <c r="F20" s="21">
        <f ca="1">SUMIF('nres bld data'!$A$3:$A$38,"="&amp;B20&amp;C20,'nres bld data'!$D$3:$D$38)</f>
        <v>1622694</v>
      </c>
      <c r="G20" s="124">
        <f t="shared" ca="1" si="2"/>
        <v>1622694</v>
      </c>
      <c r="K20" s="45" t="s">
        <v>568</v>
      </c>
      <c r="L20" s="155">
        <f ca="1">(L11-L16)/L11</f>
        <v>2.1056389833833437E-4</v>
      </c>
      <c r="N20" s="20" t="str">
        <v>Greene</v>
      </c>
      <c r="O20" s="20" t="str">
        <v>hospital</v>
      </c>
      <c r="P20" s="20" t="str">
        <v>Space_Cooling</v>
      </c>
      <c r="Q20" s="119">
        <f t="shared" ref="Q20:R20" ca="1" si="32">(1-$C$4)*W20</f>
        <v>0</v>
      </c>
      <c r="R20" s="119">
        <f t="shared" ca="1" si="32"/>
        <v>0</v>
      </c>
      <c r="S20" s="20">
        <f t="shared" si="4"/>
        <v>0</v>
      </c>
      <c r="T20" s="128">
        <f t="shared" ref="T20:U20" ca="1" si="33">$S20*Q20</f>
        <v>0</v>
      </c>
      <c r="U20" s="128">
        <f t="shared" ca="1" si="33"/>
        <v>0</v>
      </c>
      <c r="W20" s="55">
        <f ca="1"/>
        <v>0</v>
      </c>
      <c r="X20" s="55">
        <f ca="1"/>
        <v>0</v>
      </c>
      <c r="Y20" s="21">
        <f>'nres bld calcs'!G12-S20</f>
        <v>0</v>
      </c>
      <c r="Z20" s="128">
        <f t="shared" ref="Z20:AA20" ca="1" si="34">$Y20*W20</f>
        <v>0</v>
      </c>
      <c r="AA20" s="128">
        <f t="shared" ca="1" si="34"/>
        <v>0</v>
      </c>
    </row>
    <row r="21" spans="1:27" ht="13.2">
      <c r="A21" s="108" t="str">
        <f t="shared" si="0"/>
        <v>Greenesmalloffice</v>
      </c>
      <c r="B21" s="20" t="s">
        <v>5</v>
      </c>
      <c r="C21" s="20" t="s">
        <v>464</v>
      </c>
      <c r="D21" s="125"/>
      <c r="E21" s="21">
        <f t="shared" si="1"/>
        <v>0</v>
      </c>
      <c r="F21" s="21">
        <f>SUMIF('nres bld data'!$A$3:$A$38,"="&amp;B21&amp;C21,'nres bld data'!$D$3:$D$38)</f>
        <v>0</v>
      </c>
      <c r="G21" s="124">
        <f t="shared" si="2"/>
        <v>0</v>
      </c>
      <c r="I21" s="45" t="s">
        <v>579</v>
      </c>
      <c r="J21" s="154"/>
      <c r="N21" s="20" t="str">
        <v>Greene</v>
      </c>
      <c r="O21" s="20" t="str">
        <v>hospital</v>
      </c>
      <c r="P21" s="20" t="str">
        <v>Space_Heating</v>
      </c>
      <c r="Q21" s="119">
        <f ca="1">IF($C$5="Yes",((1-$C$3)*X21/$G$3)+W21,(1-$C$3)*W21)</f>
        <v>0</v>
      </c>
      <c r="R21" s="119">
        <f ca="1">IF($C$5="Yes",0,(1-$C$3)*X21)</f>
        <v>0</v>
      </c>
      <c r="S21" s="20">
        <f t="shared" si="4"/>
        <v>0</v>
      </c>
      <c r="T21" s="128">
        <f t="shared" ref="T21:U21" ca="1" si="35">$S21*Q21</f>
        <v>0</v>
      </c>
      <c r="U21" s="128">
        <f t="shared" ca="1" si="35"/>
        <v>0</v>
      </c>
      <c r="W21" s="55">
        <f ca="1"/>
        <v>0</v>
      </c>
      <c r="X21" s="55">
        <f ca="1"/>
        <v>0</v>
      </c>
      <c r="Y21" s="21">
        <f>'nres bld calcs'!G13-S21</f>
        <v>0</v>
      </c>
      <c r="Z21" s="128">
        <f t="shared" ref="Z21:AA21" ca="1" si="36">$Y21*W21</f>
        <v>0</v>
      </c>
      <c r="AA21" s="128">
        <f t="shared" ca="1" si="36"/>
        <v>0</v>
      </c>
    </row>
    <row r="22" spans="1:27" ht="13.2">
      <c r="A22" s="108" t="str">
        <f t="shared" si="0"/>
        <v>Greenewarehouse</v>
      </c>
      <c r="B22" s="20" t="s">
        <v>5</v>
      </c>
      <c r="C22" s="20" t="s">
        <v>452</v>
      </c>
      <c r="D22" s="125"/>
      <c r="E22" s="21">
        <f t="shared" si="1"/>
        <v>0</v>
      </c>
      <c r="F22" s="21">
        <f ca="1">SUMIF('nres bld data'!$A$3:$A$38,"="&amp;B22&amp;C22,'nres bld data'!$D$3:$D$38)</f>
        <v>5882558</v>
      </c>
      <c r="G22" s="124">
        <f t="shared" ca="1" si="2"/>
        <v>5882558</v>
      </c>
      <c r="I22" s="20" t="str">
        <f ca="1">IFERROR(__xludf.DUMMYFUNCTION("unique(B9:B50)"),"Greene")</f>
        <v>Greene</v>
      </c>
      <c r="J22" s="154">
        <f t="shared" ref="J22:J24" ca="1" si="37">SUMIF($B$9:$B$50,"="&amp;I22,$E$9:$E$50)</f>
        <v>0</v>
      </c>
      <c r="N22" s="20" t="str">
        <v>Greene</v>
      </c>
      <c r="O22" s="20" t="str">
        <v>hospital</v>
      </c>
      <c r="P22" s="20" t="str">
        <v>Water_Heating</v>
      </c>
      <c r="Q22" s="119">
        <f ca="1">IF($C$6="Yes",((1-$C$4)*X22/$G$3)+W22,(1-$C$4)*W22)</f>
        <v>0</v>
      </c>
      <c r="R22" s="119">
        <f ca="1">IF($C$6="Yes",0,(1-$C$4)*X22)</f>
        <v>0</v>
      </c>
      <c r="S22" s="20">
        <f t="shared" si="4"/>
        <v>0</v>
      </c>
      <c r="T22" s="128">
        <f t="shared" ref="T22:U22" ca="1" si="38">$S22*Q22</f>
        <v>0</v>
      </c>
      <c r="U22" s="128">
        <f t="shared" ca="1" si="38"/>
        <v>0</v>
      </c>
      <c r="W22" s="55">
        <f ca="1"/>
        <v>0</v>
      </c>
      <c r="X22" s="55">
        <f ca="1"/>
        <v>0</v>
      </c>
      <c r="Y22" s="21">
        <f>'nres bld calcs'!G14-S22</f>
        <v>0</v>
      </c>
      <c r="Z22" s="128">
        <f t="shared" ref="Z22:AA22" ca="1" si="39">$Y22*W22</f>
        <v>0</v>
      </c>
      <c r="AA22" s="128">
        <f t="shared" ca="1" si="39"/>
        <v>0</v>
      </c>
    </row>
    <row r="23" spans="1:27" ht="13.2">
      <c r="A23" s="108" t="str">
        <f t="shared" si="0"/>
        <v>Miamifullservicerestaurant</v>
      </c>
      <c r="B23" s="20" t="s">
        <v>9</v>
      </c>
      <c r="C23" s="20" t="s">
        <v>428</v>
      </c>
      <c r="D23" s="125"/>
      <c r="E23" s="21">
        <f t="shared" si="1"/>
        <v>0</v>
      </c>
      <c r="F23" s="21">
        <f ca="1">SUMIF('nres bld data'!$A$3:$A$38,"="&amp;B23&amp;C23,'nres bld data'!$D$3:$D$38)</f>
        <v>97746</v>
      </c>
      <c r="G23" s="124">
        <f t="shared" ca="1" si="2"/>
        <v>97746</v>
      </c>
      <c r="I23" s="20" t="str">
        <f ca="1">IFERROR(__xludf.DUMMYFUNCTION("""COMPUTED_VALUE"""),"Miami")</f>
        <v>Miami</v>
      </c>
      <c r="J23" s="154">
        <f t="shared" ca="1" si="37"/>
        <v>300000</v>
      </c>
      <c r="N23" s="20" t="str">
        <v>Greene</v>
      </c>
      <c r="O23" s="20" t="str">
        <v>largehotel</v>
      </c>
      <c r="P23" s="20" t="str">
        <v>Aux_Equip</v>
      </c>
      <c r="Q23" s="119">
        <f t="shared" ref="Q23:R23" ca="1" si="40">(1-$C$4)*W23</f>
        <v>0</v>
      </c>
      <c r="R23" s="119">
        <f t="shared" ca="1" si="40"/>
        <v>0</v>
      </c>
      <c r="S23" s="20">
        <f t="shared" si="4"/>
        <v>0</v>
      </c>
      <c r="T23" s="128">
        <f t="shared" ref="T23:U23" ca="1" si="41">$S23*Q23</f>
        <v>0</v>
      </c>
      <c r="U23" s="128">
        <f t="shared" ca="1" si="41"/>
        <v>0</v>
      </c>
      <c r="W23" s="55">
        <f ca="1"/>
        <v>0</v>
      </c>
      <c r="X23" s="55">
        <f ca="1"/>
        <v>0</v>
      </c>
      <c r="Y23" s="21">
        <f>'nres bld calcs'!G15-S23</f>
        <v>0</v>
      </c>
      <c r="Z23" s="128">
        <f t="shared" ref="Z23:AA23" ca="1" si="42">$Y23*W23</f>
        <v>0</v>
      </c>
      <c r="AA23" s="128">
        <f t="shared" ca="1" si="42"/>
        <v>0</v>
      </c>
    </row>
    <row r="24" spans="1:27" ht="13.2">
      <c r="A24" s="108" t="str">
        <f t="shared" si="0"/>
        <v>Miamihospital</v>
      </c>
      <c r="B24" s="20" t="s">
        <v>9</v>
      </c>
      <c r="C24" s="20" t="s">
        <v>449</v>
      </c>
      <c r="D24" s="125"/>
      <c r="E24" s="21">
        <f t="shared" si="1"/>
        <v>0</v>
      </c>
      <c r="F24" s="21">
        <f>SUMIF('nres bld data'!$A$3:$A$38,"="&amp;B24&amp;C24,'nres bld data'!$D$3:$D$38)</f>
        <v>0</v>
      </c>
      <c r="G24" s="124">
        <f t="shared" si="2"/>
        <v>0</v>
      </c>
      <c r="I24" s="20" t="str">
        <f ca="1">IFERROR(__xludf.DUMMYFUNCTION("""COMPUTED_VALUE"""),"Montgomery")</f>
        <v>Montgomery</v>
      </c>
      <c r="J24" s="154">
        <f t="shared" ca="1" si="37"/>
        <v>0</v>
      </c>
      <c r="N24" s="20" t="str">
        <v>Greene</v>
      </c>
      <c r="O24" s="20" t="str">
        <v>largehotel</v>
      </c>
      <c r="P24" s="20" t="str">
        <v>Aux_Motors</v>
      </c>
      <c r="Q24" s="119">
        <f t="shared" ref="Q24:R24" ca="1" si="43">(1-$C$4)*W24</f>
        <v>0</v>
      </c>
      <c r="R24" s="119">
        <f t="shared" ca="1" si="43"/>
        <v>0</v>
      </c>
      <c r="S24" s="20">
        <f t="shared" si="4"/>
        <v>0</v>
      </c>
      <c r="T24" s="128">
        <f t="shared" ref="T24:U24" ca="1" si="44">$S24*Q24</f>
        <v>0</v>
      </c>
      <c r="U24" s="128">
        <f t="shared" ca="1" si="44"/>
        <v>0</v>
      </c>
      <c r="W24" s="55">
        <f ca="1"/>
        <v>0</v>
      </c>
      <c r="X24" s="55">
        <f ca="1"/>
        <v>0</v>
      </c>
      <c r="Y24" s="21">
        <f>'nres bld calcs'!G16-S24</f>
        <v>0</v>
      </c>
      <c r="Z24" s="128">
        <f t="shared" ref="Z24:AA24" ca="1" si="45">$Y24*W24</f>
        <v>0</v>
      </c>
      <c r="AA24" s="128">
        <f t="shared" ca="1" si="45"/>
        <v>0</v>
      </c>
    </row>
    <row r="25" spans="1:27" ht="13.2">
      <c r="A25" s="108" t="str">
        <f t="shared" si="0"/>
        <v>Miamilargehotel</v>
      </c>
      <c r="B25" s="20" t="s">
        <v>9</v>
      </c>
      <c r="C25" s="20" t="s">
        <v>458</v>
      </c>
      <c r="D25" s="125"/>
      <c r="E25" s="21">
        <f t="shared" si="1"/>
        <v>0</v>
      </c>
      <c r="F25" s="21">
        <f>SUMIF('nres bld data'!$A$3:$A$38,"="&amp;B25&amp;C25,'nres bld data'!$D$3:$D$38)</f>
        <v>0</v>
      </c>
      <c r="G25" s="124">
        <f t="shared" si="2"/>
        <v>0</v>
      </c>
      <c r="I25" s="20" t="s">
        <v>32</v>
      </c>
      <c r="J25" s="154">
        <f ca="1">SUM(J22:J24)</f>
        <v>300000</v>
      </c>
      <c r="N25" s="20" t="str">
        <v>Greene</v>
      </c>
      <c r="O25" s="20" t="str">
        <v>largehotel</v>
      </c>
      <c r="P25" s="20" t="str">
        <v>Lighting</v>
      </c>
      <c r="Q25" s="119">
        <f t="shared" ref="Q25:R25" ca="1" si="46">(1-$C$4)*W25</f>
        <v>0</v>
      </c>
      <c r="R25" s="119">
        <f t="shared" ca="1" si="46"/>
        <v>0</v>
      </c>
      <c r="S25" s="20">
        <f t="shared" si="4"/>
        <v>0</v>
      </c>
      <c r="T25" s="128">
        <f t="shared" ref="T25:U25" ca="1" si="47">$S25*Q25</f>
        <v>0</v>
      </c>
      <c r="U25" s="128">
        <f t="shared" ca="1" si="47"/>
        <v>0</v>
      </c>
      <c r="W25" s="55">
        <f ca="1"/>
        <v>0</v>
      </c>
      <c r="X25" s="55">
        <f ca="1"/>
        <v>0</v>
      </c>
      <c r="Y25" s="21">
        <f>'nres bld calcs'!G17-S25</f>
        <v>0</v>
      </c>
      <c r="Z25" s="128">
        <f t="shared" ref="Z25:AA25" ca="1" si="48">$Y25*W25</f>
        <v>0</v>
      </c>
      <c r="AA25" s="128">
        <f t="shared" ca="1" si="48"/>
        <v>0</v>
      </c>
    </row>
    <row r="26" spans="1:27" ht="13.2">
      <c r="A26" s="108" t="str">
        <f t="shared" si="0"/>
        <v>Miamilargeoffice</v>
      </c>
      <c r="B26" s="20" t="s">
        <v>9</v>
      </c>
      <c r="C26" s="20" t="s">
        <v>460</v>
      </c>
      <c r="D26" s="125"/>
      <c r="E26" s="21">
        <f t="shared" si="1"/>
        <v>0</v>
      </c>
      <c r="F26" s="21">
        <f>SUMIF('nres bld data'!$A$3:$A$38,"="&amp;B26&amp;C26,'nres bld data'!$D$3:$D$38)</f>
        <v>0</v>
      </c>
      <c r="G26" s="124">
        <f t="shared" si="2"/>
        <v>0</v>
      </c>
      <c r="J26" s="154"/>
      <c r="N26" s="20" t="str">
        <v>Greene</v>
      </c>
      <c r="O26" s="20" t="str">
        <v>largehotel</v>
      </c>
      <c r="P26" s="20" t="str">
        <v>Space_Cooling</v>
      </c>
      <c r="Q26" s="119">
        <f t="shared" ref="Q26:R26" ca="1" si="49">(1-$C$4)*W26</f>
        <v>0</v>
      </c>
      <c r="R26" s="119">
        <f t="shared" ca="1" si="49"/>
        <v>0</v>
      </c>
      <c r="S26" s="20">
        <f t="shared" si="4"/>
        <v>0</v>
      </c>
      <c r="T26" s="128">
        <f t="shared" ref="T26:U26" ca="1" si="50">$S26*Q26</f>
        <v>0</v>
      </c>
      <c r="U26" s="128">
        <f t="shared" ca="1" si="50"/>
        <v>0</v>
      </c>
      <c r="W26" s="55">
        <f ca="1"/>
        <v>0</v>
      </c>
      <c r="X26" s="55">
        <f ca="1"/>
        <v>0</v>
      </c>
      <c r="Y26" s="21">
        <f>'nres bld calcs'!G18-S26</f>
        <v>0</v>
      </c>
      <c r="Z26" s="128">
        <f t="shared" ref="Z26:AA26" ca="1" si="51">$Y26*W26</f>
        <v>0</v>
      </c>
      <c r="AA26" s="128">
        <f t="shared" ca="1" si="51"/>
        <v>0</v>
      </c>
    </row>
    <row r="27" spans="1:27" ht="13.2">
      <c r="A27" s="108" t="str">
        <f t="shared" si="0"/>
        <v>Miamimediumoffice</v>
      </c>
      <c r="B27" s="20" t="s">
        <v>9</v>
      </c>
      <c r="C27" s="20" t="s">
        <v>434</v>
      </c>
      <c r="D27" s="125"/>
      <c r="E27" s="21">
        <f t="shared" si="1"/>
        <v>0</v>
      </c>
      <c r="F27" s="21">
        <f ca="1">SUMIF('nres bld data'!$A$3:$A$38,"="&amp;B27&amp;C27,'nres bld data'!$D$3:$D$38)</f>
        <v>8424112</v>
      </c>
      <c r="G27" s="124">
        <f t="shared" ca="1" si="2"/>
        <v>8424112</v>
      </c>
      <c r="J27" s="154"/>
      <c r="N27" s="20" t="str">
        <v>Greene</v>
      </c>
      <c r="O27" s="20" t="str">
        <v>largehotel</v>
      </c>
      <c r="P27" s="20" t="str">
        <v>Space_Heating</v>
      </c>
      <c r="Q27" s="119">
        <f ca="1">IF($C$5="Yes",((1-$C$3)*X27/$G$3)+W27,(1-$C$3)*W27)</f>
        <v>0</v>
      </c>
      <c r="R27" s="119">
        <f ca="1">IF($C$5="Yes",0,(1-$C$3)*X27)</f>
        <v>0</v>
      </c>
      <c r="S27" s="20">
        <f t="shared" si="4"/>
        <v>0</v>
      </c>
      <c r="T27" s="128">
        <f t="shared" ref="T27:U27" ca="1" si="52">$S27*Q27</f>
        <v>0</v>
      </c>
      <c r="U27" s="128">
        <f t="shared" ca="1" si="52"/>
        <v>0</v>
      </c>
      <c r="W27" s="55">
        <f ca="1"/>
        <v>0</v>
      </c>
      <c r="X27" s="55">
        <f ca="1"/>
        <v>0</v>
      </c>
      <c r="Y27" s="21">
        <f>'nres bld calcs'!G19-S27</f>
        <v>0</v>
      </c>
      <c r="Z27" s="128">
        <f t="shared" ref="Z27:AA27" ca="1" si="53">$Y27*W27</f>
        <v>0</v>
      </c>
      <c r="AA27" s="128">
        <f t="shared" ca="1" si="53"/>
        <v>0</v>
      </c>
    </row>
    <row r="28" spans="1:27" ht="13.2">
      <c r="A28" s="108" t="str">
        <f t="shared" si="0"/>
        <v>Miamioutpatient</v>
      </c>
      <c r="B28" s="20" t="s">
        <v>9</v>
      </c>
      <c r="C28" s="20" t="s">
        <v>461</v>
      </c>
      <c r="D28" s="125"/>
      <c r="E28" s="21">
        <f t="shared" si="1"/>
        <v>0</v>
      </c>
      <c r="F28" s="21">
        <f>SUMIF('nres bld data'!$A$3:$A$38,"="&amp;B28&amp;C28,'nres bld data'!$D$3:$D$38)</f>
        <v>0</v>
      </c>
      <c r="G28" s="124">
        <f t="shared" si="2"/>
        <v>0</v>
      </c>
      <c r="J28" s="154"/>
      <c r="N28" s="20" t="str">
        <v>Greene</v>
      </c>
      <c r="O28" s="20" t="str">
        <v>largehotel</v>
      </c>
      <c r="P28" s="20" t="str">
        <v>Water_Heating</v>
      </c>
      <c r="Q28" s="119">
        <f ca="1">IF($C$6="Yes",((1-$C$4)*X28/$G$3)+W28,(1-$C$4)*W28)</f>
        <v>0</v>
      </c>
      <c r="R28" s="119">
        <f ca="1">IF($C$6="Yes",0,(1-$C$4)*X28)</f>
        <v>0</v>
      </c>
      <c r="S28" s="20">
        <f t="shared" si="4"/>
        <v>0</v>
      </c>
      <c r="T28" s="128">
        <f t="shared" ref="T28:U28" ca="1" si="54">$S28*Q28</f>
        <v>0</v>
      </c>
      <c r="U28" s="128">
        <f t="shared" ca="1" si="54"/>
        <v>0</v>
      </c>
      <c r="W28" s="55">
        <f ca="1"/>
        <v>0</v>
      </c>
      <c r="X28" s="55">
        <f ca="1"/>
        <v>0</v>
      </c>
      <c r="Y28" s="21">
        <f>'nres bld calcs'!G20-S28</f>
        <v>0</v>
      </c>
      <c r="Z28" s="128">
        <f t="shared" ref="Z28:AA28" ca="1" si="55">$Y28*W28</f>
        <v>0</v>
      </c>
      <c r="AA28" s="128">
        <f t="shared" ca="1" si="55"/>
        <v>0</v>
      </c>
    </row>
    <row r="29" spans="1:27" ht="13.2">
      <c r="A29" s="108" t="str">
        <f t="shared" si="0"/>
        <v>Miamiprimaryschool</v>
      </c>
      <c r="B29" s="20" t="s">
        <v>9</v>
      </c>
      <c r="C29" s="20" t="s">
        <v>446</v>
      </c>
      <c r="D29" s="125"/>
      <c r="E29" s="21">
        <f t="shared" si="1"/>
        <v>0</v>
      </c>
      <c r="F29" s="21">
        <f ca="1">SUMIF('nres bld data'!$A$3:$A$38,"="&amp;B29&amp;C29,'nres bld data'!$D$3:$D$38)</f>
        <v>3158100</v>
      </c>
      <c r="G29" s="124">
        <f t="shared" ca="1" si="2"/>
        <v>3158100</v>
      </c>
      <c r="J29" s="154"/>
      <c r="N29" s="20" t="str">
        <v>Greene</v>
      </c>
      <c r="O29" s="20" t="str">
        <v>largeoffice</v>
      </c>
      <c r="P29" s="20" t="str">
        <v>Aux_Equip</v>
      </c>
      <c r="Q29" s="119">
        <f t="shared" ref="Q29:R29" ca="1" si="56">(1-$C$4)*W29</f>
        <v>0</v>
      </c>
      <c r="R29" s="119">
        <f t="shared" ca="1" si="56"/>
        <v>0</v>
      </c>
      <c r="S29" s="20">
        <f t="shared" si="4"/>
        <v>0</v>
      </c>
      <c r="T29" s="128">
        <f t="shared" ref="T29:U29" ca="1" si="57">$S29*Q29</f>
        <v>0</v>
      </c>
      <c r="U29" s="128">
        <f t="shared" ca="1" si="57"/>
        <v>0</v>
      </c>
      <c r="W29" s="55">
        <f ca="1"/>
        <v>0</v>
      </c>
      <c r="X29" s="55">
        <f ca="1"/>
        <v>0</v>
      </c>
      <c r="Y29" s="21">
        <f>'nres bld calcs'!G21-S29</f>
        <v>0</v>
      </c>
      <c r="Z29" s="128">
        <f t="shared" ref="Z29:AA29" ca="1" si="58">$Y29*W29</f>
        <v>0</v>
      </c>
      <c r="AA29" s="128">
        <f t="shared" ca="1" si="58"/>
        <v>0</v>
      </c>
    </row>
    <row r="30" spans="1:27" ht="13.2">
      <c r="A30" s="108" t="str">
        <f t="shared" si="0"/>
        <v>Miamiquickservicerestaurant</v>
      </c>
      <c r="B30" s="20" t="s">
        <v>9</v>
      </c>
      <c r="C30" s="20" t="s">
        <v>457</v>
      </c>
      <c r="D30" s="125"/>
      <c r="E30" s="21">
        <f t="shared" si="1"/>
        <v>0</v>
      </c>
      <c r="F30" s="21">
        <f ca="1">SUMIF('nres bld data'!$A$3:$A$38,"="&amp;B30&amp;C30,'nres bld data'!$D$3:$D$38)</f>
        <v>379426</v>
      </c>
      <c r="G30" s="124">
        <f t="shared" ca="1" si="2"/>
        <v>379426</v>
      </c>
      <c r="J30" s="154"/>
      <c r="N30" s="20" t="str">
        <v>Greene</v>
      </c>
      <c r="O30" s="20" t="str">
        <v>largeoffice</v>
      </c>
      <c r="P30" s="20" t="str">
        <v>Aux_Motors</v>
      </c>
      <c r="Q30" s="119">
        <f t="shared" ref="Q30:R30" ca="1" si="59">(1-$C$4)*W30</f>
        <v>0</v>
      </c>
      <c r="R30" s="119">
        <f t="shared" ca="1" si="59"/>
        <v>0</v>
      </c>
      <c r="S30" s="20">
        <f t="shared" si="4"/>
        <v>0</v>
      </c>
      <c r="T30" s="128">
        <f t="shared" ref="T30:U30" ca="1" si="60">$S30*Q30</f>
        <v>0</v>
      </c>
      <c r="U30" s="128">
        <f t="shared" ca="1" si="60"/>
        <v>0</v>
      </c>
      <c r="W30" s="55">
        <f ca="1"/>
        <v>0</v>
      </c>
      <c r="X30" s="55">
        <f ca="1"/>
        <v>0</v>
      </c>
      <c r="Y30" s="21">
        <f>'nres bld calcs'!G22-S30</f>
        <v>0</v>
      </c>
      <c r="Z30" s="128">
        <f t="shared" ref="Z30:AA30" ca="1" si="61">$Y30*W30</f>
        <v>0</v>
      </c>
      <c r="AA30" s="128">
        <f t="shared" ca="1" si="61"/>
        <v>0</v>
      </c>
    </row>
    <row r="31" spans="1:27" ht="13.2">
      <c r="A31" s="108" t="str">
        <f t="shared" si="0"/>
        <v>Miamiretailstandalone</v>
      </c>
      <c r="B31" s="20" t="s">
        <v>9</v>
      </c>
      <c r="C31" s="20" t="s">
        <v>430</v>
      </c>
      <c r="D31" s="21">
        <f>IF(C2=2027,10,IF(C2=2028,20,IF(C2=2029,50,IF(C2&gt;=2030,100,0))))</f>
        <v>100</v>
      </c>
      <c r="E31" s="21">
        <f t="shared" si="1"/>
        <v>300000</v>
      </c>
      <c r="F31" s="21">
        <f ca="1">SUMIF('nres bld data'!$A$3:$A$38,"="&amp;B31&amp;C31,'nres bld data'!$D$3:$D$38)</f>
        <v>10078144</v>
      </c>
      <c r="G31" s="124">
        <f t="shared" ca="1" si="2"/>
        <v>9778144</v>
      </c>
      <c r="N31" s="20" t="str">
        <v>Greene</v>
      </c>
      <c r="O31" s="20" t="str">
        <v>largeoffice</v>
      </c>
      <c r="P31" s="20" t="str">
        <v>Lighting</v>
      </c>
      <c r="Q31" s="119">
        <f t="shared" ref="Q31:R31" ca="1" si="62">(1-$C$4)*W31</f>
        <v>0</v>
      </c>
      <c r="R31" s="119">
        <f t="shared" ca="1" si="62"/>
        <v>0</v>
      </c>
      <c r="S31" s="20">
        <f t="shared" si="4"/>
        <v>0</v>
      </c>
      <c r="T31" s="128">
        <f t="shared" ref="T31:U31" ca="1" si="63">$S31*Q31</f>
        <v>0</v>
      </c>
      <c r="U31" s="128">
        <f t="shared" ca="1" si="63"/>
        <v>0</v>
      </c>
      <c r="W31" s="55">
        <f ca="1"/>
        <v>0</v>
      </c>
      <c r="X31" s="55">
        <f ca="1"/>
        <v>0</v>
      </c>
      <c r="Y31" s="21">
        <f>'nres bld calcs'!G23-S31</f>
        <v>0</v>
      </c>
      <c r="Z31" s="128">
        <f t="shared" ref="Z31:AA31" ca="1" si="64">$Y31*W31</f>
        <v>0</v>
      </c>
      <c r="AA31" s="128">
        <f t="shared" ca="1" si="64"/>
        <v>0</v>
      </c>
    </row>
    <row r="32" spans="1:27" ht="13.2">
      <c r="A32" s="108" t="str">
        <f t="shared" si="0"/>
        <v>Miamiretailstripmall</v>
      </c>
      <c r="B32" s="20" t="s">
        <v>9</v>
      </c>
      <c r="C32" s="20" t="s">
        <v>462</v>
      </c>
      <c r="D32" s="125"/>
      <c r="E32" s="21">
        <f t="shared" si="1"/>
        <v>0</v>
      </c>
      <c r="F32" s="21">
        <f>SUMIF('nres bld data'!$A$3:$A$38,"="&amp;B32&amp;C32,'nres bld data'!$D$3:$D$38)</f>
        <v>0</v>
      </c>
      <c r="G32" s="124">
        <f t="shared" si="2"/>
        <v>0</v>
      </c>
      <c r="N32" s="20" t="str">
        <v>Greene</v>
      </c>
      <c r="O32" s="20" t="str">
        <v>largeoffice</v>
      </c>
      <c r="P32" s="20" t="str">
        <v>Space_Cooling</v>
      </c>
      <c r="Q32" s="119">
        <f t="shared" ref="Q32:R32" ca="1" si="65">(1-$C$4)*W32</f>
        <v>0</v>
      </c>
      <c r="R32" s="119">
        <f t="shared" ca="1" si="65"/>
        <v>0</v>
      </c>
      <c r="S32" s="20">
        <f t="shared" si="4"/>
        <v>0</v>
      </c>
      <c r="T32" s="128">
        <f t="shared" ref="T32:U32" ca="1" si="66">$S32*Q32</f>
        <v>0</v>
      </c>
      <c r="U32" s="128">
        <f t="shared" ca="1" si="66"/>
        <v>0</v>
      </c>
      <c r="W32" s="55">
        <f ca="1"/>
        <v>0</v>
      </c>
      <c r="X32" s="55">
        <f ca="1"/>
        <v>0</v>
      </c>
      <c r="Y32" s="21">
        <f>'nres bld calcs'!G24-S32</f>
        <v>0</v>
      </c>
      <c r="Z32" s="128">
        <f t="shared" ref="Z32:AA32" ca="1" si="67">$Y32*W32</f>
        <v>0</v>
      </c>
      <c r="AA32" s="128">
        <f t="shared" ca="1" si="67"/>
        <v>0</v>
      </c>
    </row>
    <row r="33" spans="1:27" ht="13.2">
      <c r="A33" s="108" t="str">
        <f t="shared" si="0"/>
        <v>Miamisecondaryschool</v>
      </c>
      <c r="B33" s="20" t="s">
        <v>9</v>
      </c>
      <c r="C33" s="20" t="s">
        <v>463</v>
      </c>
      <c r="D33" s="125"/>
      <c r="E33" s="21">
        <f t="shared" si="1"/>
        <v>0</v>
      </c>
      <c r="F33" s="21">
        <f>SUMIF('nres bld data'!$A$3:$A$38,"="&amp;B33&amp;C33,'nres bld data'!$D$3:$D$38)</f>
        <v>0</v>
      </c>
      <c r="G33" s="124">
        <f t="shared" si="2"/>
        <v>0</v>
      </c>
      <c r="N33" s="20" t="str">
        <v>Greene</v>
      </c>
      <c r="O33" s="20" t="str">
        <v>largeoffice</v>
      </c>
      <c r="P33" s="20" t="str">
        <v>Space_Heating</v>
      </c>
      <c r="Q33" s="119">
        <f ca="1">IF($C$5="Yes",((1-$C$3)*X33/$G$3)+W33,(1-$C$3)*W33)</f>
        <v>0</v>
      </c>
      <c r="R33" s="119">
        <f ca="1">IF($C$5="Yes",0,(1-$C$3)*X33)</f>
        <v>0</v>
      </c>
      <c r="S33" s="20">
        <f t="shared" si="4"/>
        <v>0</v>
      </c>
      <c r="T33" s="128">
        <f t="shared" ref="T33:U33" ca="1" si="68">$S33*Q33</f>
        <v>0</v>
      </c>
      <c r="U33" s="128">
        <f t="shared" ca="1" si="68"/>
        <v>0</v>
      </c>
      <c r="W33" s="55">
        <f ca="1"/>
        <v>0</v>
      </c>
      <c r="X33" s="55">
        <f ca="1"/>
        <v>0</v>
      </c>
      <c r="Y33" s="21">
        <f>'nres bld calcs'!G25-S33</f>
        <v>0</v>
      </c>
      <c r="Z33" s="128">
        <f t="shared" ref="Z33:AA33" ca="1" si="69">$Y33*W33</f>
        <v>0</v>
      </c>
      <c r="AA33" s="128">
        <f t="shared" ca="1" si="69"/>
        <v>0</v>
      </c>
    </row>
    <row r="34" spans="1:27" ht="13.2">
      <c r="A34" s="108" t="str">
        <f t="shared" si="0"/>
        <v>Miamismallhotel</v>
      </c>
      <c r="B34" s="20" t="s">
        <v>9</v>
      </c>
      <c r="C34" s="20" t="s">
        <v>438</v>
      </c>
      <c r="D34" s="125"/>
      <c r="E34" s="21">
        <f t="shared" si="1"/>
        <v>0</v>
      </c>
      <c r="F34" s="21">
        <f ca="1">SUMIF('nres bld data'!$A$3:$A$38,"="&amp;B34&amp;C34,'nres bld data'!$D$3:$D$38)</f>
        <v>1570872</v>
      </c>
      <c r="G34" s="124">
        <f t="shared" ca="1" si="2"/>
        <v>1570872</v>
      </c>
      <c r="N34" s="20" t="str">
        <v>Greene</v>
      </c>
      <c r="O34" s="20" t="str">
        <v>largeoffice</v>
      </c>
      <c r="P34" s="20" t="str">
        <v>Water_Heating</v>
      </c>
      <c r="Q34" s="119">
        <f ca="1">IF($C$6="Yes",((1-$C$4)*X34/$G$3)+W34,(1-$C$4)*W34)</f>
        <v>0</v>
      </c>
      <c r="R34" s="119">
        <f ca="1">IF($C$6="Yes",0,(1-$C$4)*X34)</f>
        <v>0</v>
      </c>
      <c r="S34" s="20">
        <f t="shared" si="4"/>
        <v>0</v>
      </c>
      <c r="T34" s="128">
        <f t="shared" ref="T34:U34" ca="1" si="70">$S34*Q34</f>
        <v>0</v>
      </c>
      <c r="U34" s="128">
        <f t="shared" ca="1" si="70"/>
        <v>0</v>
      </c>
      <c r="W34" s="55">
        <f ca="1"/>
        <v>0</v>
      </c>
      <c r="X34" s="55">
        <f ca="1"/>
        <v>0</v>
      </c>
      <c r="Y34" s="21">
        <f>'nres bld calcs'!G26-S34</f>
        <v>0</v>
      </c>
      <c r="Z34" s="128">
        <f t="shared" ref="Z34:AA34" ca="1" si="71">$Y34*W34</f>
        <v>0</v>
      </c>
      <c r="AA34" s="128">
        <f t="shared" ca="1" si="71"/>
        <v>0</v>
      </c>
    </row>
    <row r="35" spans="1:27" ht="13.2">
      <c r="A35" s="108" t="str">
        <f t="shared" si="0"/>
        <v>Miamismalloffice</v>
      </c>
      <c r="B35" s="20" t="s">
        <v>9</v>
      </c>
      <c r="C35" s="20" t="s">
        <v>464</v>
      </c>
      <c r="D35" s="125"/>
      <c r="E35" s="21">
        <f t="shared" si="1"/>
        <v>0</v>
      </c>
      <c r="F35" s="21">
        <f>SUMIF('nres bld data'!$A$3:$A$38,"="&amp;B35&amp;C35,'nres bld data'!$D$3:$D$38)</f>
        <v>0</v>
      </c>
      <c r="G35" s="124">
        <f t="shared" si="2"/>
        <v>0</v>
      </c>
      <c r="N35" s="20" t="str">
        <v>Greene</v>
      </c>
      <c r="O35" s="20" t="str">
        <v>mediumoffice</v>
      </c>
      <c r="P35" s="20" t="str">
        <v>Aux_Equip</v>
      </c>
      <c r="Q35" s="119">
        <f t="shared" ref="Q35:R35" ca="1" si="72">(1-$C$4)*W35</f>
        <v>1.5932839834786931E-2</v>
      </c>
      <c r="R35" s="119">
        <f t="shared" ca="1" si="72"/>
        <v>0</v>
      </c>
      <c r="S35" s="20">
        <f t="shared" si="4"/>
        <v>0</v>
      </c>
      <c r="T35" s="128">
        <f t="shared" ref="T35:U35" ca="1" si="73">$S35*Q35</f>
        <v>0</v>
      </c>
      <c r="U35" s="128">
        <f t="shared" ca="1" si="73"/>
        <v>0</v>
      </c>
      <c r="W35" s="55">
        <f ca="1"/>
        <v>1.5932839834786931E-2</v>
      </c>
      <c r="X35" s="55">
        <f ca="1"/>
        <v>0</v>
      </c>
      <c r="Y35" s="21">
        <f ca="1">'nres bld calcs'!G27-S35</f>
        <v>14261377</v>
      </c>
      <c r="Z35" s="128">
        <f t="shared" ref="Z35:AA35" ca="1" si="74">$Y35*W35</f>
        <v>227224.23556451415</v>
      </c>
      <c r="AA35" s="128">
        <f t="shared" ca="1" si="74"/>
        <v>0</v>
      </c>
    </row>
    <row r="36" spans="1:27" ht="13.2">
      <c r="A36" s="108" t="str">
        <f t="shared" si="0"/>
        <v>Miamiwarehouse</v>
      </c>
      <c r="B36" s="20" t="s">
        <v>9</v>
      </c>
      <c r="C36" s="20" t="s">
        <v>452</v>
      </c>
      <c r="D36" s="125"/>
      <c r="E36" s="21">
        <f t="shared" si="1"/>
        <v>0</v>
      </c>
      <c r="F36" s="21">
        <f ca="1">SUMIF('nres bld data'!$A$3:$A$38,"="&amp;B36&amp;C36,'nres bld data'!$D$3:$D$38)</f>
        <v>6002096</v>
      </c>
      <c r="G36" s="124">
        <f t="shared" ca="1" si="2"/>
        <v>6002096</v>
      </c>
      <c r="N36" s="20" t="str">
        <v>Greene</v>
      </c>
      <c r="O36" s="20" t="str">
        <v>mediumoffice</v>
      </c>
      <c r="P36" s="20" t="str">
        <v>Aux_Motors</v>
      </c>
      <c r="Q36" s="119">
        <f t="shared" ref="Q36:R36" ca="1" si="75">(1-$C$4)*W36</f>
        <v>7.7325742777695607E-3</v>
      </c>
      <c r="R36" s="119">
        <f t="shared" ca="1" si="75"/>
        <v>0</v>
      </c>
      <c r="S36" s="20">
        <f t="shared" si="4"/>
        <v>0</v>
      </c>
      <c r="T36" s="128">
        <f t="shared" ref="T36:U36" ca="1" si="76">$S36*Q36</f>
        <v>0</v>
      </c>
      <c r="U36" s="128">
        <f t="shared" ca="1" si="76"/>
        <v>0</v>
      </c>
      <c r="W36" s="55">
        <f ca="1"/>
        <v>7.7325742777695607E-3</v>
      </c>
      <c r="X36" s="55">
        <f ca="1"/>
        <v>0</v>
      </c>
      <c r="Y36" s="21">
        <f ca="1">'nres bld calcs'!G28-S36</f>
        <v>14261377</v>
      </c>
      <c r="Z36" s="128">
        <f t="shared" ref="Z36:AA36" ca="1" si="77">$Y36*W36</f>
        <v>110277.15695577442</v>
      </c>
      <c r="AA36" s="128">
        <f t="shared" ca="1" si="77"/>
        <v>0</v>
      </c>
    </row>
    <row r="37" spans="1:27" ht="13.2">
      <c r="A37" s="108" t="str">
        <f t="shared" si="0"/>
        <v>Montgomeryfullservicerestaurant</v>
      </c>
      <c r="B37" s="20" t="s">
        <v>10</v>
      </c>
      <c r="C37" s="20" t="s">
        <v>428</v>
      </c>
      <c r="D37" s="125"/>
      <c r="E37" s="21">
        <f t="shared" si="1"/>
        <v>0</v>
      </c>
      <c r="F37" s="21">
        <f ca="1">SUMIF('nres bld data'!$A$3:$A$38,"="&amp;B37&amp;C37,'nres bld data'!$D$3:$D$38)</f>
        <v>5246076</v>
      </c>
      <c r="G37" s="124">
        <f t="shared" ca="1" si="2"/>
        <v>5246076</v>
      </c>
      <c r="N37" s="20" t="str">
        <v>Greene</v>
      </c>
      <c r="O37" s="20" t="str">
        <v>mediumoffice</v>
      </c>
      <c r="P37" s="20" t="str">
        <v>Lighting</v>
      </c>
      <c r="Q37" s="119">
        <f t="shared" ref="Q37:R37" ca="1" si="78">(1-$C$4)*W37</f>
        <v>4.6071655205372451E-3</v>
      </c>
      <c r="R37" s="119">
        <f t="shared" ca="1" si="78"/>
        <v>0</v>
      </c>
      <c r="S37" s="20">
        <f t="shared" si="4"/>
        <v>0</v>
      </c>
      <c r="T37" s="128">
        <f t="shared" ref="T37:U37" ca="1" si="79">$S37*Q37</f>
        <v>0</v>
      </c>
      <c r="U37" s="128">
        <f t="shared" ca="1" si="79"/>
        <v>0</v>
      </c>
      <c r="W37" s="55">
        <f ca="1"/>
        <v>4.6071655205372451E-3</v>
      </c>
      <c r="X37" s="55">
        <f ca="1"/>
        <v>0</v>
      </c>
      <c r="Y37" s="21">
        <f ca="1">'nres bld calcs'!G29-S37</f>
        <v>14261377</v>
      </c>
      <c r="Z37" s="128">
        <f t="shared" ref="Z37:AA37" ca="1" si="80">$Y37*W37</f>
        <v>65704.524389782891</v>
      </c>
      <c r="AA37" s="128">
        <f t="shared" ca="1" si="80"/>
        <v>0</v>
      </c>
    </row>
    <row r="38" spans="1:27" ht="13.2">
      <c r="A38" s="108" t="str">
        <f t="shared" si="0"/>
        <v>Montgomeryhospital</v>
      </c>
      <c r="B38" s="20" t="s">
        <v>10</v>
      </c>
      <c r="C38" s="20" t="s">
        <v>449</v>
      </c>
      <c r="D38" s="125"/>
      <c r="E38" s="21">
        <f t="shared" si="1"/>
        <v>0</v>
      </c>
      <c r="F38" s="21">
        <f>SUMIF('nres bld data'!$A$3:$A$38,"="&amp;B38&amp;C38,'nres bld data'!$D$3:$D$38)</f>
        <v>0</v>
      </c>
      <c r="G38" s="124">
        <f t="shared" si="2"/>
        <v>0</v>
      </c>
      <c r="N38" s="20" t="str">
        <v>Greene</v>
      </c>
      <c r="O38" s="20" t="str">
        <v>mediumoffice</v>
      </c>
      <c r="P38" s="20" t="str">
        <v>Space_Cooling</v>
      </c>
      <c r="Q38" s="119">
        <f t="shared" ref="Q38:R38" ca="1" si="81">(1-$C$4)*W38</f>
        <v>5.3177104054068988E-3</v>
      </c>
      <c r="R38" s="119">
        <f t="shared" ca="1" si="81"/>
        <v>0</v>
      </c>
      <c r="S38" s="20">
        <f t="shared" si="4"/>
        <v>0</v>
      </c>
      <c r="T38" s="128">
        <f t="shared" ref="T38:U38" ca="1" si="82">$S38*Q38</f>
        <v>0</v>
      </c>
      <c r="U38" s="128">
        <f t="shared" ca="1" si="82"/>
        <v>0</v>
      </c>
      <c r="W38" s="55">
        <f ca="1"/>
        <v>5.3177104054068988E-3</v>
      </c>
      <c r="X38" s="55">
        <f ca="1"/>
        <v>0</v>
      </c>
      <c r="Y38" s="21">
        <f ca="1">'nres bld calcs'!G30-S38</f>
        <v>14261377</v>
      </c>
      <c r="Z38" s="128">
        <f t="shared" ref="Z38:AA38" ca="1" si="83">$Y38*W38</f>
        <v>75837.872868330625</v>
      </c>
      <c r="AA38" s="128">
        <f t="shared" ca="1" si="83"/>
        <v>0</v>
      </c>
    </row>
    <row r="39" spans="1:27" ht="13.2">
      <c r="A39" s="108" t="str">
        <f t="shared" si="0"/>
        <v>Montgomerylargehotel</v>
      </c>
      <c r="B39" s="20" t="s">
        <v>10</v>
      </c>
      <c r="C39" s="20" t="s">
        <v>458</v>
      </c>
      <c r="D39" s="125"/>
      <c r="E39" s="21">
        <f t="shared" si="1"/>
        <v>0</v>
      </c>
      <c r="F39" s="21">
        <f>SUMIF('nres bld data'!$A$3:$A$38,"="&amp;B39&amp;C39,'nres bld data'!$D$3:$D$38)</f>
        <v>0</v>
      </c>
      <c r="G39" s="124">
        <f t="shared" si="2"/>
        <v>0</v>
      </c>
      <c r="N39" s="20" t="str">
        <v>Greene</v>
      </c>
      <c r="O39" s="20" t="str">
        <v>mediumoffice</v>
      </c>
      <c r="P39" s="20" t="str">
        <v>Space_Heating</v>
      </c>
      <c r="Q39" s="119">
        <f ca="1">IF($C$5="Yes",((1-$C$3)*X39/$G$3)+W39,(1-$C$3)*W39)</f>
        <v>0</v>
      </c>
      <c r="R39" s="119">
        <f ca="1">IF($C$5="Yes",0,(1-$C$3)*X39)</f>
        <v>1.7896910989519978E-2</v>
      </c>
      <c r="S39" s="20">
        <f t="shared" si="4"/>
        <v>0</v>
      </c>
      <c r="T39" s="128">
        <f t="shared" ref="T39:U39" ca="1" si="84">$S39*Q39</f>
        <v>0</v>
      </c>
      <c r="U39" s="128">
        <f t="shared" ca="1" si="84"/>
        <v>0</v>
      </c>
      <c r="W39" s="55">
        <f ca="1"/>
        <v>0</v>
      </c>
      <c r="X39" s="55">
        <f ca="1"/>
        <v>3.5793821979039957E-2</v>
      </c>
      <c r="Y39" s="21">
        <f ca="1">'nres bld calcs'!G31-S39</f>
        <v>14261377</v>
      </c>
      <c r="Z39" s="128">
        <f t="shared" ref="Z39:AA39" ca="1" si="85">$Y39*W39</f>
        <v>0</v>
      </c>
      <c r="AA39" s="128">
        <f t="shared" ca="1" si="85"/>
        <v>510469.18951397494</v>
      </c>
    </row>
    <row r="40" spans="1:27" ht="13.2">
      <c r="A40" s="108" t="str">
        <f t="shared" si="0"/>
        <v>Montgomerylargeoffice</v>
      </c>
      <c r="B40" s="20" t="s">
        <v>10</v>
      </c>
      <c r="C40" s="20" t="s">
        <v>460</v>
      </c>
      <c r="D40" s="125"/>
      <c r="E40" s="21">
        <f t="shared" si="1"/>
        <v>0</v>
      </c>
      <c r="F40" s="21">
        <f>SUMIF('nres bld data'!$A$3:$A$38,"="&amp;B40&amp;C40,'nres bld data'!$D$3:$D$38)</f>
        <v>0</v>
      </c>
      <c r="G40" s="124">
        <f t="shared" si="2"/>
        <v>0</v>
      </c>
      <c r="N40" s="20" t="str">
        <v>Greene</v>
      </c>
      <c r="O40" s="20" t="str">
        <v>mediumoffice</v>
      </c>
      <c r="P40" s="20" t="str">
        <v>Water_Heating</v>
      </c>
      <c r="Q40" s="119">
        <f ca="1">IF($C$6="Yes",((1-$C$4)*X40/$G$3)+W40,(1-$C$4)*W40)</f>
        <v>0</v>
      </c>
      <c r="R40" s="119">
        <f ca="1">IF($C$6="Yes",0,(1-$C$4)*X40)</f>
        <v>4.6414722828843017E-3</v>
      </c>
      <c r="S40" s="20">
        <f t="shared" si="4"/>
        <v>0</v>
      </c>
      <c r="T40" s="128">
        <f t="shared" ref="T40:U40" ca="1" si="86">$S40*Q40</f>
        <v>0</v>
      </c>
      <c r="U40" s="128">
        <f t="shared" ca="1" si="86"/>
        <v>0</v>
      </c>
      <c r="W40" s="55">
        <f ca="1"/>
        <v>0</v>
      </c>
      <c r="X40" s="55">
        <f ca="1"/>
        <v>4.6414722828843017E-3</v>
      </c>
      <c r="Y40" s="21">
        <f ca="1">'nres bld calcs'!G32-S40</f>
        <v>14261377</v>
      </c>
      <c r="Z40" s="128">
        <f t="shared" ref="Z40:AA40" ca="1" si="87">$Y40*W40</f>
        <v>0</v>
      </c>
      <c r="AA40" s="128">
        <f t="shared" ca="1" si="87"/>
        <v>66193.786061263672</v>
      </c>
    </row>
    <row r="41" spans="1:27" ht="13.2">
      <c r="A41" s="108" t="str">
        <f t="shared" si="0"/>
        <v>Montgomerymediumoffice</v>
      </c>
      <c r="B41" s="20" t="s">
        <v>10</v>
      </c>
      <c r="C41" s="20" t="s">
        <v>434</v>
      </c>
      <c r="D41" s="125"/>
      <c r="E41" s="21">
        <f t="shared" si="1"/>
        <v>0</v>
      </c>
      <c r="F41" s="21">
        <f ca="1">SUMIF('nres bld data'!$A$3:$A$38,"="&amp;B41&amp;C41,'nres bld data'!$D$3:$D$38)</f>
        <v>69650443</v>
      </c>
      <c r="G41" s="124">
        <f t="shared" ca="1" si="2"/>
        <v>69650443</v>
      </c>
      <c r="N41" s="20" t="str">
        <v>Greene</v>
      </c>
      <c r="O41" s="20" t="str">
        <v>outpatient</v>
      </c>
      <c r="P41" s="20" t="str">
        <v>Aux_Equip</v>
      </c>
      <c r="Q41" s="119">
        <f t="shared" ref="Q41:R41" ca="1" si="88">(1-$C$4)*W41</f>
        <v>0</v>
      </c>
      <c r="R41" s="119">
        <f t="shared" ca="1" si="88"/>
        <v>0</v>
      </c>
      <c r="S41" s="20">
        <f t="shared" si="4"/>
        <v>0</v>
      </c>
      <c r="T41" s="128">
        <f t="shared" ref="T41:U41" ca="1" si="89">$S41*Q41</f>
        <v>0</v>
      </c>
      <c r="U41" s="128">
        <f t="shared" ca="1" si="89"/>
        <v>0</v>
      </c>
      <c r="W41" s="55">
        <f ca="1"/>
        <v>0</v>
      </c>
      <c r="X41" s="55">
        <f ca="1"/>
        <v>0</v>
      </c>
      <c r="Y41" s="21">
        <f>'nres bld calcs'!G33-S41</f>
        <v>0</v>
      </c>
      <c r="Z41" s="128">
        <f t="shared" ref="Z41:AA41" ca="1" si="90">$Y41*W41</f>
        <v>0</v>
      </c>
      <c r="AA41" s="128">
        <f t="shared" ca="1" si="90"/>
        <v>0</v>
      </c>
    </row>
    <row r="42" spans="1:27" ht="13.2">
      <c r="A42" s="108" t="str">
        <f t="shared" si="0"/>
        <v>Montgomeryoutpatient</v>
      </c>
      <c r="B42" s="20" t="s">
        <v>10</v>
      </c>
      <c r="C42" s="20" t="s">
        <v>461</v>
      </c>
      <c r="D42" s="125"/>
      <c r="E42" s="21">
        <f t="shared" si="1"/>
        <v>0</v>
      </c>
      <c r="F42" s="21">
        <f>SUMIF('nres bld data'!$A$3:$A$38,"="&amp;B42&amp;C42,'nres bld data'!$D$3:$D$38)</f>
        <v>0</v>
      </c>
      <c r="G42" s="124">
        <f t="shared" si="2"/>
        <v>0</v>
      </c>
      <c r="N42" s="20" t="str">
        <v>Greene</v>
      </c>
      <c r="O42" s="20" t="str">
        <v>outpatient</v>
      </c>
      <c r="P42" s="20" t="str">
        <v>Aux_Motors</v>
      </c>
      <c r="Q42" s="119">
        <f t="shared" ref="Q42:R42" ca="1" si="91">(1-$C$4)*W42</f>
        <v>0</v>
      </c>
      <c r="R42" s="119">
        <f t="shared" ca="1" si="91"/>
        <v>0</v>
      </c>
      <c r="S42" s="20">
        <f t="shared" si="4"/>
        <v>0</v>
      </c>
      <c r="T42" s="128">
        <f t="shared" ref="T42:U42" ca="1" si="92">$S42*Q42</f>
        <v>0</v>
      </c>
      <c r="U42" s="128">
        <f t="shared" ca="1" si="92"/>
        <v>0</v>
      </c>
      <c r="W42" s="55">
        <f ca="1"/>
        <v>0</v>
      </c>
      <c r="X42" s="55">
        <f ca="1"/>
        <v>0</v>
      </c>
      <c r="Y42" s="21">
        <f>'nres bld calcs'!G34-S42</f>
        <v>0</v>
      </c>
      <c r="Z42" s="128">
        <f t="shared" ref="Z42:AA42" ca="1" si="93">$Y42*W42</f>
        <v>0</v>
      </c>
      <c r="AA42" s="128">
        <f t="shared" ca="1" si="93"/>
        <v>0</v>
      </c>
    </row>
    <row r="43" spans="1:27" ht="13.2">
      <c r="A43" s="108" t="str">
        <f t="shared" si="0"/>
        <v>Montgomeryprimaryschool</v>
      </c>
      <c r="B43" s="20" t="s">
        <v>10</v>
      </c>
      <c r="C43" s="20" t="s">
        <v>446</v>
      </c>
      <c r="D43" s="125"/>
      <c r="E43" s="21">
        <f t="shared" si="1"/>
        <v>0</v>
      </c>
      <c r="F43" s="21">
        <f ca="1">SUMIF('nres bld data'!$A$3:$A$38,"="&amp;B43&amp;C43,'nres bld data'!$D$3:$D$38)</f>
        <v>31099511</v>
      </c>
      <c r="G43" s="124">
        <f t="shared" ca="1" si="2"/>
        <v>31099511</v>
      </c>
      <c r="N43" s="20" t="str">
        <v>Greene</v>
      </c>
      <c r="O43" s="20" t="str">
        <v>outpatient</v>
      </c>
      <c r="P43" s="20" t="str">
        <v>Lighting</v>
      </c>
      <c r="Q43" s="119">
        <f t="shared" ref="Q43:R43" ca="1" si="94">(1-$C$4)*W43</f>
        <v>0</v>
      </c>
      <c r="R43" s="119">
        <f t="shared" ca="1" si="94"/>
        <v>0</v>
      </c>
      <c r="S43" s="20">
        <f t="shared" si="4"/>
        <v>0</v>
      </c>
      <c r="T43" s="128">
        <f t="shared" ref="T43:U43" ca="1" si="95">$S43*Q43</f>
        <v>0</v>
      </c>
      <c r="U43" s="128">
        <f t="shared" ca="1" si="95"/>
        <v>0</v>
      </c>
      <c r="W43" s="55">
        <f ca="1"/>
        <v>0</v>
      </c>
      <c r="X43" s="55">
        <f ca="1"/>
        <v>0</v>
      </c>
      <c r="Y43" s="21">
        <f>'nres bld calcs'!G35-S43</f>
        <v>0</v>
      </c>
      <c r="Z43" s="128">
        <f t="shared" ref="Z43:AA43" ca="1" si="96">$Y43*W43</f>
        <v>0</v>
      </c>
      <c r="AA43" s="128">
        <f t="shared" ca="1" si="96"/>
        <v>0</v>
      </c>
    </row>
    <row r="44" spans="1:27" ht="13.2">
      <c r="A44" s="108" t="str">
        <f t="shared" si="0"/>
        <v>Montgomeryquickservicerestaurant</v>
      </c>
      <c r="B44" s="20" t="s">
        <v>10</v>
      </c>
      <c r="C44" s="20" t="s">
        <v>457</v>
      </c>
      <c r="D44" s="125"/>
      <c r="E44" s="21">
        <f t="shared" si="1"/>
        <v>0</v>
      </c>
      <c r="F44" s="21">
        <f ca="1">SUMIF('nres bld data'!$A$3:$A$38,"="&amp;B44&amp;C44,'nres bld data'!$D$3:$D$38)</f>
        <v>617494</v>
      </c>
      <c r="G44" s="124">
        <f t="shared" ca="1" si="2"/>
        <v>617494</v>
      </c>
      <c r="N44" s="20" t="str">
        <v>Greene</v>
      </c>
      <c r="O44" s="20" t="str">
        <v>outpatient</v>
      </c>
      <c r="P44" s="20" t="str">
        <v>Space_Cooling</v>
      </c>
      <c r="Q44" s="119">
        <f t="shared" ref="Q44:R44" ca="1" si="97">(1-$C$4)*W44</f>
        <v>0</v>
      </c>
      <c r="R44" s="119">
        <f t="shared" ca="1" si="97"/>
        <v>0</v>
      </c>
      <c r="S44" s="20">
        <f t="shared" si="4"/>
        <v>0</v>
      </c>
      <c r="T44" s="128">
        <f t="shared" ref="T44:U44" ca="1" si="98">$S44*Q44</f>
        <v>0</v>
      </c>
      <c r="U44" s="128">
        <f t="shared" ca="1" si="98"/>
        <v>0</v>
      </c>
      <c r="W44" s="55">
        <f ca="1"/>
        <v>0</v>
      </c>
      <c r="X44" s="55">
        <f ca="1"/>
        <v>0</v>
      </c>
      <c r="Y44" s="21">
        <f>'nres bld calcs'!G36-S44</f>
        <v>0</v>
      </c>
      <c r="Z44" s="128">
        <f t="shared" ref="Z44:AA44" ca="1" si="99">$Y44*W44</f>
        <v>0</v>
      </c>
      <c r="AA44" s="128">
        <f t="shared" ca="1" si="99"/>
        <v>0</v>
      </c>
    </row>
    <row r="45" spans="1:27" ht="13.2">
      <c r="A45" s="108" t="str">
        <f t="shared" si="0"/>
        <v>Montgomeryretailstandalone</v>
      </c>
      <c r="B45" s="20" t="s">
        <v>10</v>
      </c>
      <c r="C45" s="20" t="s">
        <v>430</v>
      </c>
      <c r="D45" s="125"/>
      <c r="E45" s="21">
        <f t="shared" si="1"/>
        <v>0</v>
      </c>
      <c r="F45" s="21">
        <f ca="1">SUMIF('nres bld data'!$A$3:$A$38,"="&amp;B45&amp;C45,'nres bld data'!$D$3:$D$38)</f>
        <v>70849917</v>
      </c>
      <c r="G45" s="124">
        <f t="shared" ca="1" si="2"/>
        <v>70849917</v>
      </c>
      <c r="N45" s="20" t="str">
        <v>Greene</v>
      </c>
      <c r="O45" s="20" t="str">
        <v>outpatient</v>
      </c>
      <c r="P45" s="20" t="str">
        <v>Space_Heating</v>
      </c>
      <c r="Q45" s="119">
        <f ca="1">IF($C$5="Yes",((1-$C$3)*X45/$G$3)+W45,(1-$C$3)*W45)</f>
        <v>0</v>
      </c>
      <c r="R45" s="119">
        <f ca="1">IF($C$5="Yes",0,(1-$C$3)*X45)</f>
        <v>0</v>
      </c>
      <c r="S45" s="20">
        <f t="shared" si="4"/>
        <v>0</v>
      </c>
      <c r="T45" s="128">
        <f t="shared" ref="T45:U45" ca="1" si="100">$S45*Q45</f>
        <v>0</v>
      </c>
      <c r="U45" s="128">
        <f t="shared" ca="1" si="100"/>
        <v>0</v>
      </c>
      <c r="W45" s="55">
        <f ca="1"/>
        <v>0</v>
      </c>
      <c r="X45" s="55">
        <f ca="1"/>
        <v>0</v>
      </c>
      <c r="Y45" s="21">
        <f>'nres bld calcs'!G37-S45</f>
        <v>0</v>
      </c>
      <c r="Z45" s="128">
        <f t="shared" ref="Z45:AA45" ca="1" si="101">$Y45*W45</f>
        <v>0</v>
      </c>
      <c r="AA45" s="128">
        <f t="shared" ca="1" si="101"/>
        <v>0</v>
      </c>
    </row>
    <row r="46" spans="1:27" ht="13.2">
      <c r="A46" s="108" t="str">
        <f t="shared" si="0"/>
        <v>Montgomeryretailstripmall</v>
      </c>
      <c r="B46" s="20" t="s">
        <v>10</v>
      </c>
      <c r="C46" s="20" t="s">
        <v>462</v>
      </c>
      <c r="D46" s="125"/>
      <c r="E46" s="21">
        <f t="shared" si="1"/>
        <v>0</v>
      </c>
      <c r="F46" s="21">
        <f>SUMIF('nres bld data'!$A$3:$A$38,"="&amp;B46&amp;C46,'nres bld data'!$D$3:$D$38)</f>
        <v>0</v>
      </c>
      <c r="G46" s="124">
        <f t="shared" si="2"/>
        <v>0</v>
      </c>
      <c r="N46" s="20" t="str">
        <v>Greene</v>
      </c>
      <c r="O46" s="20" t="str">
        <v>outpatient</v>
      </c>
      <c r="P46" s="20" t="str">
        <v>Water_Heating</v>
      </c>
      <c r="Q46" s="119">
        <f ca="1">IF($C$6="Yes",((1-$C$4)*X46/$G$3)+W46,(1-$C$4)*W46)</f>
        <v>0</v>
      </c>
      <c r="R46" s="119">
        <f ca="1">IF($C$6="Yes",0,(1-$C$4)*X46)</f>
        <v>0</v>
      </c>
      <c r="S46" s="20">
        <f t="shared" si="4"/>
        <v>0</v>
      </c>
      <c r="T46" s="128">
        <f t="shared" ref="T46:U46" ca="1" si="102">$S46*Q46</f>
        <v>0</v>
      </c>
      <c r="U46" s="128">
        <f t="shared" ca="1" si="102"/>
        <v>0</v>
      </c>
      <c r="W46" s="55">
        <f ca="1"/>
        <v>0</v>
      </c>
      <c r="X46" s="55">
        <f ca="1"/>
        <v>0</v>
      </c>
      <c r="Y46" s="21">
        <f>'nres bld calcs'!G38-S46</f>
        <v>0</v>
      </c>
      <c r="Z46" s="128">
        <f t="shared" ref="Z46:AA46" ca="1" si="103">$Y46*W46</f>
        <v>0</v>
      </c>
      <c r="AA46" s="128">
        <f t="shared" ca="1" si="103"/>
        <v>0</v>
      </c>
    </row>
    <row r="47" spans="1:27" ht="13.2">
      <c r="A47" s="108" t="str">
        <f t="shared" si="0"/>
        <v>Montgomerysecondaryschool</v>
      </c>
      <c r="B47" s="20" t="s">
        <v>10</v>
      </c>
      <c r="C47" s="20" t="s">
        <v>463</v>
      </c>
      <c r="D47" s="125"/>
      <c r="E47" s="21">
        <f t="shared" si="1"/>
        <v>0</v>
      </c>
      <c r="F47" s="21">
        <f>SUMIF('nres bld data'!$A$3:$A$38,"="&amp;B47&amp;C47,'nres bld data'!$D$3:$D$38)</f>
        <v>0</v>
      </c>
      <c r="G47" s="124">
        <f t="shared" si="2"/>
        <v>0</v>
      </c>
      <c r="N47" s="20" t="str">
        <v>Greene</v>
      </c>
      <c r="O47" s="20" t="str">
        <v>primaryschool</v>
      </c>
      <c r="P47" s="20" t="str">
        <v>Aux_Equip</v>
      </c>
      <c r="Q47" s="119">
        <f t="shared" ref="Q47:R47" ca="1" si="104">(1-$C$4)*W47</f>
        <v>3.4642573747502695E-3</v>
      </c>
      <c r="R47" s="119">
        <f t="shared" ca="1" si="104"/>
        <v>3.1217578195649361E-3</v>
      </c>
      <c r="S47" s="20">
        <f t="shared" si="4"/>
        <v>0</v>
      </c>
      <c r="T47" s="128">
        <f t="shared" ref="T47:U47" ca="1" si="105">$S47*Q47</f>
        <v>0</v>
      </c>
      <c r="U47" s="128">
        <f t="shared" ca="1" si="105"/>
        <v>0</v>
      </c>
      <c r="W47" s="55">
        <f ca="1"/>
        <v>3.4642573747502695E-3</v>
      </c>
      <c r="X47" s="55">
        <f ca="1"/>
        <v>3.1217578195649361E-3</v>
      </c>
      <c r="Y47" s="21">
        <f ca="1">'nres bld calcs'!G39-S47</f>
        <v>7182875</v>
      </c>
      <c r="Z47" s="128">
        <f t="shared" ref="Z47:AA47" ca="1" si="106">$Y47*W47</f>
        <v>24883.327690659342</v>
      </c>
      <c r="AA47" s="128">
        <f t="shared" ca="1" si="106"/>
        <v>22423.19619820749</v>
      </c>
    </row>
    <row r="48" spans="1:27" ht="13.2">
      <c r="A48" s="108" t="str">
        <f t="shared" si="0"/>
        <v>Montgomerysmallhotel</v>
      </c>
      <c r="B48" s="20" t="s">
        <v>10</v>
      </c>
      <c r="C48" s="20" t="s">
        <v>438</v>
      </c>
      <c r="D48" s="125"/>
      <c r="E48" s="21">
        <f t="shared" si="1"/>
        <v>0</v>
      </c>
      <c r="F48" s="21">
        <f ca="1">SUMIF('nres bld data'!$A$3:$A$38,"="&amp;B48&amp;C48,'nres bld data'!$D$3:$D$38)</f>
        <v>7826533</v>
      </c>
      <c r="G48" s="124">
        <f t="shared" ca="1" si="2"/>
        <v>7826533</v>
      </c>
      <c r="N48" s="20" t="str">
        <v>Greene</v>
      </c>
      <c r="O48" s="20" t="str">
        <v>primaryschool</v>
      </c>
      <c r="P48" s="20" t="str">
        <v>Aux_Motors</v>
      </c>
      <c r="Q48" s="119">
        <f t="shared" ref="Q48:R48" ca="1" si="107">(1-$C$4)*W48</f>
        <v>1.1647938315538347E-2</v>
      </c>
      <c r="R48" s="119">
        <f t="shared" ca="1" si="107"/>
        <v>0</v>
      </c>
      <c r="S48" s="20">
        <f t="shared" si="4"/>
        <v>0</v>
      </c>
      <c r="T48" s="128">
        <f t="shared" ref="T48:U48" ca="1" si="108">$S48*Q48</f>
        <v>0</v>
      </c>
      <c r="U48" s="128">
        <f t="shared" ca="1" si="108"/>
        <v>0</v>
      </c>
      <c r="W48" s="55">
        <f ca="1"/>
        <v>1.1647938315538347E-2</v>
      </c>
      <c r="X48" s="55">
        <f ca="1"/>
        <v>0</v>
      </c>
      <c r="Y48" s="21">
        <f ca="1">'nres bld calcs'!G40-S48</f>
        <v>7182875</v>
      </c>
      <c r="Z48" s="128">
        <f t="shared" ref="Z48:AA48" ca="1" si="109">$Y48*W48</f>
        <v>83665.684928222501</v>
      </c>
      <c r="AA48" s="128">
        <f t="shared" ca="1" si="109"/>
        <v>0</v>
      </c>
    </row>
    <row r="49" spans="1:27" ht="13.2">
      <c r="A49" s="108" t="str">
        <f t="shared" si="0"/>
        <v>Montgomerysmalloffice</v>
      </c>
      <c r="B49" s="20" t="s">
        <v>10</v>
      </c>
      <c r="C49" s="20" t="s">
        <v>464</v>
      </c>
      <c r="D49" s="125"/>
      <c r="E49" s="21">
        <f t="shared" si="1"/>
        <v>0</v>
      </c>
      <c r="F49" s="21">
        <f>SUMIF('nres bld data'!$A$3:$A$38,"="&amp;B49&amp;C49,'nres bld data'!$D$3:$D$38)</f>
        <v>0</v>
      </c>
      <c r="G49" s="124">
        <f t="shared" si="2"/>
        <v>0</v>
      </c>
      <c r="N49" s="20" t="str">
        <v>Greene</v>
      </c>
      <c r="O49" s="20" t="str">
        <v>primaryschool</v>
      </c>
      <c r="P49" s="20" t="str">
        <v>Lighting</v>
      </c>
      <c r="Q49" s="119">
        <f t="shared" ref="Q49:R49" ca="1" si="110">(1-$C$4)*W49</f>
        <v>1.1328541404427931E-2</v>
      </c>
      <c r="R49" s="119">
        <f t="shared" ca="1" si="110"/>
        <v>0</v>
      </c>
      <c r="S49" s="20">
        <f t="shared" si="4"/>
        <v>0</v>
      </c>
      <c r="T49" s="128">
        <f t="shared" ref="T49:U49" ca="1" si="111">$S49*Q49</f>
        <v>0</v>
      </c>
      <c r="U49" s="128">
        <f t="shared" ca="1" si="111"/>
        <v>0</v>
      </c>
      <c r="W49" s="55">
        <f ca="1"/>
        <v>1.1328541404427931E-2</v>
      </c>
      <c r="X49" s="55">
        <f ca="1"/>
        <v>0</v>
      </c>
      <c r="Y49" s="21">
        <f ca="1">'nres bld calcs'!G41-S49</f>
        <v>7182875</v>
      </c>
      <c r="Z49" s="128">
        <f t="shared" ref="Z49:AA49" ca="1" si="112">$Y49*W49</f>
        <v>81371.496840330277</v>
      </c>
      <c r="AA49" s="128">
        <f t="shared" ca="1" si="112"/>
        <v>0</v>
      </c>
    </row>
    <row r="50" spans="1:27" ht="13.2">
      <c r="A50" s="108" t="str">
        <f t="shared" si="0"/>
        <v>Montgomerywarehouse</v>
      </c>
      <c r="B50" s="20" t="s">
        <v>10</v>
      </c>
      <c r="C50" s="20" t="s">
        <v>452</v>
      </c>
      <c r="D50" s="125"/>
      <c r="E50" s="21">
        <f t="shared" si="1"/>
        <v>0</v>
      </c>
      <c r="F50" s="21">
        <f ca="1">SUMIF('nres bld data'!$A$3:$A$38,"="&amp;B50&amp;C50,'nres bld data'!$D$3:$D$38)</f>
        <v>19222284</v>
      </c>
      <c r="G50" s="124">
        <f t="shared" ca="1" si="2"/>
        <v>19222284</v>
      </c>
      <c r="N50" s="20" t="str">
        <v>Greene</v>
      </c>
      <c r="O50" s="20" t="str">
        <v>primaryschool</v>
      </c>
      <c r="P50" s="20" t="str">
        <v>Space_Cooling</v>
      </c>
      <c r="Q50" s="119">
        <f t="shared" ref="Q50:R50" ca="1" si="113">(1-$C$4)*W50</f>
        <v>5.3513463861244535E-3</v>
      </c>
      <c r="R50" s="119">
        <f t="shared" ca="1" si="113"/>
        <v>0</v>
      </c>
      <c r="S50" s="20">
        <f t="shared" si="4"/>
        <v>0</v>
      </c>
      <c r="T50" s="128">
        <f t="shared" ref="T50:U50" ca="1" si="114">$S50*Q50</f>
        <v>0</v>
      </c>
      <c r="U50" s="128">
        <f t="shared" ca="1" si="114"/>
        <v>0</v>
      </c>
      <c r="W50" s="55">
        <f ca="1"/>
        <v>5.3513463861244535E-3</v>
      </c>
      <c r="X50" s="55">
        <f ca="1"/>
        <v>0</v>
      </c>
      <c r="Y50" s="21">
        <f ca="1">'nres bld calcs'!G42-S50</f>
        <v>7182875</v>
      </c>
      <c r="Z50" s="128">
        <f t="shared" ref="Z50:AA50" ca="1" si="115">$Y50*W50</f>
        <v>38438.052173233686</v>
      </c>
      <c r="AA50" s="128">
        <f t="shared" ca="1" si="115"/>
        <v>0</v>
      </c>
    </row>
    <row r="51" spans="1:27" ht="13.2">
      <c r="A51" s="108"/>
      <c r="D51" s="21"/>
      <c r="E51" s="21"/>
      <c r="F51" s="21"/>
      <c r="G51" s="124">
        <f t="shared" si="2"/>
        <v>0</v>
      </c>
      <c r="N51" s="20" t="str">
        <v>Greene</v>
      </c>
      <c r="O51" s="20" t="str">
        <v>primaryschool</v>
      </c>
      <c r="P51" s="20" t="str">
        <v>Space_Heating</v>
      </c>
      <c r="Q51" s="119">
        <f ca="1">IF($C$5="Yes",((1-$C$3)*X51/$G$3)+W51,(1-$C$3)*W51)</f>
        <v>0</v>
      </c>
      <c r="R51" s="119">
        <f ca="1">IF($C$5="Yes",0,(1-$C$3)*X51)</f>
        <v>1.7149793150155045E-2</v>
      </c>
      <c r="S51" s="20">
        <f t="shared" si="4"/>
        <v>0</v>
      </c>
      <c r="T51" s="128">
        <f t="shared" ref="T51:U51" ca="1" si="116">$S51*Q51</f>
        <v>0</v>
      </c>
      <c r="U51" s="128">
        <f t="shared" ca="1" si="116"/>
        <v>0</v>
      </c>
      <c r="W51" s="55">
        <f ca="1"/>
        <v>0</v>
      </c>
      <c r="X51" s="55">
        <f ca="1"/>
        <v>3.4299586300310089E-2</v>
      </c>
      <c r="Y51" s="21">
        <f ca="1">'nres bld calcs'!G43-S51</f>
        <v>7182875</v>
      </c>
      <c r="Z51" s="128">
        <f t="shared" ref="Z51:AA51" ca="1" si="117">$Y51*W51</f>
        <v>0</v>
      </c>
      <c r="AA51" s="128">
        <f t="shared" ca="1" si="117"/>
        <v>246369.64094683982</v>
      </c>
    </row>
    <row r="52" spans="1:27" ht="13.2">
      <c r="A52" s="108"/>
      <c r="D52" s="21"/>
      <c r="E52" s="21"/>
      <c r="F52" s="21"/>
      <c r="G52" s="108"/>
      <c r="N52" s="20" t="str">
        <v>Greene</v>
      </c>
      <c r="O52" s="20" t="str">
        <v>primaryschool</v>
      </c>
      <c r="P52" s="20" t="str">
        <v>Water_Heating</v>
      </c>
      <c r="Q52" s="119">
        <f ca="1">IF($C$6="Yes",((1-$C$4)*X52/$G$3)+W52,(1-$C$4)*W52)</f>
        <v>1.798206557659631E-3</v>
      </c>
      <c r="R52" s="119">
        <f ca="1">IF($C$6="Yes",0,(1-$C$4)*X52)</f>
        <v>3.0139501420492379E-3</v>
      </c>
      <c r="S52" s="20">
        <f t="shared" si="4"/>
        <v>0</v>
      </c>
      <c r="T52" s="128">
        <f t="shared" ref="T52:U52" ca="1" si="118">$S52*Q52</f>
        <v>0</v>
      </c>
      <c r="U52" s="128">
        <f t="shared" ca="1" si="118"/>
        <v>0</v>
      </c>
      <c r="W52" s="55">
        <f ca="1"/>
        <v>1.798206557659631E-3</v>
      </c>
      <c r="X52" s="55">
        <f ca="1"/>
        <v>3.0139501420492379E-3</v>
      </c>
      <c r="Y52" s="21">
        <f ca="1">'nres bld calcs'!G44-S52</f>
        <v>7182875</v>
      </c>
      <c r="Z52" s="128">
        <f t="shared" ref="Z52:AA52" ca="1" si="119">$Y52*W52</f>
        <v>12916.292927849423</v>
      </c>
      <c r="AA52" s="128">
        <f t="shared" ca="1" si="119"/>
        <v>21648.82712657192</v>
      </c>
    </row>
    <row r="53" spans="1:27" ht="13.2">
      <c r="A53" s="108"/>
      <c r="C53" s="2"/>
      <c r="D53" s="2"/>
      <c r="E53" s="2"/>
      <c r="F53" s="2"/>
      <c r="G53" s="2"/>
      <c r="H53" s="2"/>
      <c r="N53" s="20" t="str">
        <v>Greene</v>
      </c>
      <c r="O53" s="20" t="str">
        <v>quickservicerestaurant</v>
      </c>
      <c r="P53" s="20" t="str">
        <v>Aux_Equip</v>
      </c>
      <c r="Q53" s="119">
        <f t="shared" ref="Q53:R53" ca="1" si="120">(1-$C$4)*W53</f>
        <v>1.0325751604779086E-2</v>
      </c>
      <c r="R53" s="119">
        <f t="shared" ca="1" si="120"/>
        <v>2.5322267039794132E-2</v>
      </c>
      <c r="S53" s="20">
        <f t="shared" si="4"/>
        <v>0</v>
      </c>
      <c r="T53" s="128">
        <f t="shared" ref="T53:U53" ca="1" si="121">$S53*Q53</f>
        <v>0</v>
      </c>
      <c r="U53" s="128">
        <f t="shared" ca="1" si="121"/>
        <v>0</v>
      </c>
      <c r="W53" s="55">
        <f ca="1"/>
        <v>1.0325751604779086E-2</v>
      </c>
      <c r="X53" s="55">
        <f ca="1"/>
        <v>2.5322267039794132E-2</v>
      </c>
      <c r="Y53" s="21">
        <f ca="1">'nres bld calcs'!G45-S53</f>
        <v>8123090</v>
      </c>
      <c r="Z53" s="128">
        <f t="shared" ref="Z53:AA53" ca="1" si="122">$Y53*W53</f>
        <v>83877.009603264945</v>
      </c>
      <c r="AA53" s="128">
        <f t="shared" ca="1" si="122"/>
        <v>205695.05416828132</v>
      </c>
    </row>
    <row r="54" spans="1:27" ht="13.2">
      <c r="B54" s="139">
        <v>2026</v>
      </c>
      <c r="C54" s="139">
        <v>2027</v>
      </c>
      <c r="D54" s="139">
        <v>2028</v>
      </c>
      <c r="E54" s="140">
        <v>2029</v>
      </c>
      <c r="F54" s="139">
        <v>2030</v>
      </c>
      <c r="G54" s="139">
        <v>2050</v>
      </c>
      <c r="H54" s="139"/>
      <c r="N54" s="20" t="str">
        <v>Greene</v>
      </c>
      <c r="O54" s="20" t="str">
        <v>quickservicerestaurant</v>
      </c>
      <c r="P54" s="20" t="str">
        <v>Aux_Motors</v>
      </c>
      <c r="Q54" s="119">
        <f t="shared" ref="Q54:R54" ca="1" si="123">(1-$C$4)*W54</f>
        <v>1.0598152799408723E-2</v>
      </c>
      <c r="R54" s="119">
        <f t="shared" ca="1" si="123"/>
        <v>0</v>
      </c>
      <c r="S54" s="20">
        <f t="shared" si="4"/>
        <v>0</v>
      </c>
      <c r="T54" s="128">
        <f t="shared" ref="T54:U54" ca="1" si="124">$S54*Q54</f>
        <v>0</v>
      </c>
      <c r="U54" s="128">
        <f t="shared" ca="1" si="124"/>
        <v>0</v>
      </c>
      <c r="W54" s="55">
        <f ca="1"/>
        <v>1.0598152799408723E-2</v>
      </c>
      <c r="X54" s="55">
        <f ca="1"/>
        <v>0</v>
      </c>
      <c r="Y54" s="21">
        <f ca="1">'nres bld calcs'!G46-S54</f>
        <v>8123090</v>
      </c>
      <c r="Z54" s="128">
        <f t="shared" ref="Z54:AA54" ca="1" si="125">$Y54*W54</f>
        <v>86089.749023348995</v>
      </c>
      <c r="AA54" s="128">
        <f t="shared" ca="1" si="125"/>
        <v>0</v>
      </c>
    </row>
    <row r="55" spans="1:27" ht="13.2">
      <c r="A55" s="45" t="s">
        <v>579</v>
      </c>
      <c r="B55" s="21">
        <v>0</v>
      </c>
      <c r="C55" s="21">
        <v>30000</v>
      </c>
      <c r="D55" s="21">
        <v>60000</v>
      </c>
      <c r="E55" s="21">
        <v>150000</v>
      </c>
      <c r="F55" s="21">
        <v>300000</v>
      </c>
      <c r="G55" s="21">
        <v>300000</v>
      </c>
      <c r="H55" s="9"/>
      <c r="N55" s="20" t="str">
        <v>Greene</v>
      </c>
      <c r="O55" s="20" t="str">
        <v>quickservicerestaurant</v>
      </c>
      <c r="P55" s="20" t="str">
        <v>Lighting</v>
      </c>
      <c r="Q55" s="119">
        <f t="shared" ref="Q55:R55" ca="1" si="126">(1-$C$4)*W55</f>
        <v>5.648071204517143E-3</v>
      </c>
      <c r="R55" s="119">
        <f t="shared" ca="1" si="126"/>
        <v>0</v>
      </c>
      <c r="S55" s="20">
        <f t="shared" si="4"/>
        <v>0</v>
      </c>
      <c r="T55" s="128">
        <f t="shared" ref="T55:U55" ca="1" si="127">$S55*Q55</f>
        <v>0</v>
      </c>
      <c r="U55" s="128">
        <f t="shared" ca="1" si="127"/>
        <v>0</v>
      </c>
      <c r="W55" s="55">
        <f ca="1"/>
        <v>5.648071204517143E-3</v>
      </c>
      <c r="X55" s="55">
        <f ca="1"/>
        <v>0</v>
      </c>
      <c r="Y55" s="21">
        <f ca="1">'nres bld calcs'!G47-S55</f>
        <v>8123090</v>
      </c>
      <c r="Z55" s="128">
        <f t="shared" ref="Z55:AA55" ca="1" si="128">$Y55*W55</f>
        <v>45879.790720701159</v>
      </c>
      <c r="AA55" s="128">
        <f t="shared" ca="1" si="128"/>
        <v>0</v>
      </c>
    </row>
    <row r="56" spans="1:27" ht="13.2">
      <c r="A56" s="108"/>
      <c r="D56" s="21"/>
      <c r="E56" s="21"/>
      <c r="F56" s="21"/>
      <c r="G56" s="108"/>
      <c r="N56" s="20" t="str">
        <v>Greene</v>
      </c>
      <c r="O56" s="20" t="str">
        <v>quickservicerestaurant</v>
      </c>
      <c r="P56" s="20" t="str">
        <v>Space_Cooling</v>
      </c>
      <c r="Q56" s="119">
        <f t="shared" ref="Q56:R56" ca="1" si="129">(1-$C$4)*W56</f>
        <v>3.8806034765439031E-3</v>
      </c>
      <c r="R56" s="119">
        <f t="shared" ca="1" si="129"/>
        <v>0</v>
      </c>
      <c r="S56" s="20">
        <f t="shared" si="4"/>
        <v>0</v>
      </c>
      <c r="T56" s="128">
        <f t="shared" ref="T56:U56" ca="1" si="130">$S56*Q56</f>
        <v>0</v>
      </c>
      <c r="U56" s="128">
        <f t="shared" ca="1" si="130"/>
        <v>0</v>
      </c>
      <c r="W56" s="55">
        <f ca="1"/>
        <v>3.8806034765439031E-3</v>
      </c>
      <c r="X56" s="55">
        <f ca="1"/>
        <v>0</v>
      </c>
      <c r="Y56" s="21">
        <f ca="1">'nres bld calcs'!G48-S56</f>
        <v>8123090</v>
      </c>
      <c r="Z56" s="128">
        <f t="shared" ref="Z56:AA56" ca="1" si="131">$Y56*W56</f>
        <v>31522.491294279014</v>
      </c>
      <c r="AA56" s="128">
        <f t="shared" ca="1" si="131"/>
        <v>0</v>
      </c>
    </row>
    <row r="57" spans="1:27" ht="13.2">
      <c r="A57" s="108"/>
      <c r="D57" s="21"/>
      <c r="E57" s="21"/>
      <c r="F57" s="21"/>
      <c r="G57" s="108"/>
      <c r="N57" s="20" t="str">
        <v>Greene</v>
      </c>
      <c r="O57" s="20" t="str">
        <v>quickservicerestaurant</v>
      </c>
      <c r="P57" s="20" t="str">
        <v>Space_Heating</v>
      </c>
      <c r="Q57" s="119">
        <f ca="1">IF($C$5="Yes",((1-$C$3)*X57/$G$3)+W57,(1-$C$3)*W57)</f>
        <v>1.3269873438376428E-3</v>
      </c>
      <c r="R57" s="119">
        <f ca="1">IF($C$5="Yes",0,(1-$C$3)*X57)</f>
        <v>5.7975053436759797E-3</v>
      </c>
      <c r="S57" s="20">
        <f t="shared" si="4"/>
        <v>0</v>
      </c>
      <c r="T57" s="128">
        <f t="shared" ref="T57:U57" ca="1" si="132">$S57*Q57</f>
        <v>0</v>
      </c>
      <c r="U57" s="128">
        <f t="shared" ca="1" si="132"/>
        <v>0</v>
      </c>
      <c r="W57" s="55">
        <f ca="1"/>
        <v>2.6539746876752856E-3</v>
      </c>
      <c r="X57" s="55">
        <f ca="1"/>
        <v>1.1595010687351959E-2</v>
      </c>
      <c r="Y57" s="21">
        <f ca="1">'nres bld calcs'!G49-S57</f>
        <v>8123090</v>
      </c>
      <c r="Z57" s="128">
        <f t="shared" ref="Z57:AA57" ca="1" si="133">$Y57*W57</f>
        <v>21558.475245708236</v>
      </c>
      <c r="AA57" s="128">
        <f t="shared" ca="1" si="133"/>
        <v>94187.315364321825</v>
      </c>
    </row>
    <row r="58" spans="1:27" ht="13.2">
      <c r="A58" s="108"/>
      <c r="D58" s="21"/>
      <c r="E58" s="21"/>
      <c r="F58" s="21"/>
      <c r="G58" s="108"/>
      <c r="N58" s="20" t="str">
        <v>Greene</v>
      </c>
      <c r="O58" s="20" t="str">
        <v>quickservicerestaurant</v>
      </c>
      <c r="P58" s="20" t="str">
        <v>Water_Heating</v>
      </c>
      <c r="Q58" s="119">
        <f ca="1">IF($C$6="Yes",((1-$C$4)*X58/$G$3)+W58,(1-$C$4)*W58)</f>
        <v>4.8373626557648937E-4</v>
      </c>
      <c r="R58" s="119">
        <f ca="1">IF($C$6="Yes",0,(1-$C$4)*X58)</f>
        <v>3.5180165347781719E-3</v>
      </c>
      <c r="S58" s="20">
        <f t="shared" si="4"/>
        <v>0</v>
      </c>
      <c r="T58" s="128">
        <f t="shared" ref="T58:U58" ca="1" si="134">$S58*Q58</f>
        <v>0</v>
      </c>
      <c r="U58" s="128">
        <f t="shared" ca="1" si="134"/>
        <v>0</v>
      </c>
      <c r="W58" s="55">
        <f ca="1"/>
        <v>4.8373626557648937E-4</v>
      </c>
      <c r="X58" s="55">
        <f ca="1"/>
        <v>3.5180165347781719E-3</v>
      </c>
      <c r="Y58" s="21">
        <f ca="1">'nres bld calcs'!G50-S58</f>
        <v>8123090</v>
      </c>
      <c r="Z58" s="128">
        <f t="shared" ref="Z58:AA58" ca="1" si="135">$Y58*W58</f>
        <v>3929.4332215417248</v>
      </c>
      <c r="AA58" s="128">
        <f t="shared" ca="1" si="135"/>
        <v>28577.164933491222</v>
      </c>
    </row>
    <row r="59" spans="1:27" ht="13.2">
      <c r="A59" s="108"/>
      <c r="F59" s="21"/>
      <c r="G59" s="108"/>
      <c r="N59" s="20" t="str">
        <v>Greene</v>
      </c>
      <c r="O59" s="20" t="str">
        <v>retailstandalone</v>
      </c>
      <c r="P59" s="20" t="str">
        <v>Aux_Equip</v>
      </c>
      <c r="Q59" s="119">
        <f t="shared" ref="Q59:R59" ca="1" si="136">(1-$C$4)*W59</f>
        <v>3.8704820985774593E-3</v>
      </c>
      <c r="R59" s="119">
        <f t="shared" ca="1" si="136"/>
        <v>0</v>
      </c>
      <c r="S59" s="20">
        <f t="shared" si="4"/>
        <v>0</v>
      </c>
      <c r="T59" s="128">
        <f t="shared" ref="T59:U59" ca="1" si="137">$S59*Q59</f>
        <v>0</v>
      </c>
      <c r="U59" s="128">
        <f t="shared" ca="1" si="137"/>
        <v>0</v>
      </c>
      <c r="W59" s="55">
        <f ca="1"/>
        <v>3.8704820985774593E-3</v>
      </c>
      <c r="X59" s="55">
        <f ca="1"/>
        <v>0</v>
      </c>
      <c r="Y59" s="21">
        <f ca="1">'nres bld calcs'!G51-S59</f>
        <v>16112615</v>
      </c>
      <c r="Z59" s="128">
        <f t="shared" ref="Z59:AA59" ca="1" si="138">$Y59*W59</f>
        <v>62363.587918770652</v>
      </c>
      <c r="AA59" s="128">
        <f t="shared" ca="1" si="138"/>
        <v>0</v>
      </c>
    </row>
    <row r="60" spans="1:27" ht="13.2">
      <c r="A60" s="108"/>
      <c r="F60" s="21"/>
      <c r="G60" s="108"/>
      <c r="N60" s="20" t="str">
        <v>Greene</v>
      </c>
      <c r="O60" s="20" t="str">
        <v>retailstandalone</v>
      </c>
      <c r="P60" s="20" t="str">
        <v>Aux_Motors</v>
      </c>
      <c r="Q60" s="119">
        <f t="shared" ref="Q60:R60" ca="1" si="139">(1-$C$4)*W60</f>
        <v>5.9697421245077653E-3</v>
      </c>
      <c r="R60" s="119">
        <f t="shared" ca="1" si="139"/>
        <v>0</v>
      </c>
      <c r="S60" s="20">
        <f t="shared" si="4"/>
        <v>0</v>
      </c>
      <c r="T60" s="128">
        <f t="shared" ref="T60:U60" ca="1" si="140">$S60*Q60</f>
        <v>0</v>
      </c>
      <c r="U60" s="128">
        <f t="shared" ca="1" si="140"/>
        <v>0</v>
      </c>
      <c r="W60" s="55">
        <f ca="1"/>
        <v>5.9697421245077653E-3</v>
      </c>
      <c r="X60" s="55">
        <f ca="1"/>
        <v>0</v>
      </c>
      <c r="Y60" s="21">
        <f ca="1">'nres bld calcs'!G52-S60</f>
        <v>16112615</v>
      </c>
      <c r="Z60" s="128">
        <f t="shared" ref="Z60:AA60" ca="1" si="141">$Y60*W60</f>
        <v>96188.156501475692</v>
      </c>
      <c r="AA60" s="128">
        <f t="shared" ca="1" si="141"/>
        <v>0</v>
      </c>
    </row>
    <row r="61" spans="1:27" ht="13.2">
      <c r="A61" s="108"/>
      <c r="F61" s="21"/>
      <c r="G61" s="108"/>
      <c r="N61" s="20" t="str">
        <v>Greene</v>
      </c>
      <c r="O61" s="20" t="str">
        <v>retailstandalone</v>
      </c>
      <c r="P61" s="20" t="str">
        <v>Lighting</v>
      </c>
      <c r="Q61" s="119">
        <f t="shared" ref="Q61:R61" ca="1" si="142">(1-$C$4)*W61</f>
        <v>1.8446556975978461E-2</v>
      </c>
      <c r="R61" s="119">
        <f t="shared" ca="1" si="142"/>
        <v>0</v>
      </c>
      <c r="S61" s="20">
        <f t="shared" si="4"/>
        <v>0</v>
      </c>
      <c r="T61" s="128">
        <f t="shared" ref="T61:U61" ca="1" si="143">$S61*Q61</f>
        <v>0</v>
      </c>
      <c r="U61" s="128">
        <f t="shared" ca="1" si="143"/>
        <v>0</v>
      </c>
      <c r="W61" s="55">
        <f ca="1"/>
        <v>1.8446556975978461E-2</v>
      </c>
      <c r="X61" s="55">
        <f ca="1"/>
        <v>0</v>
      </c>
      <c r="Y61" s="21">
        <f ca="1">'nres bld calcs'!G53-S61</f>
        <v>16112615</v>
      </c>
      <c r="Z61" s="128">
        <f t="shared" ref="Z61:AA61" ca="1" si="144">$Y61*W61</f>
        <v>297222.27062950516</v>
      </c>
      <c r="AA61" s="128">
        <f t="shared" ca="1" si="144"/>
        <v>0</v>
      </c>
    </row>
    <row r="62" spans="1:27" ht="13.2">
      <c r="A62" s="108"/>
      <c r="F62" s="21"/>
      <c r="G62" s="108"/>
      <c r="N62" s="20" t="str">
        <v>Greene</v>
      </c>
      <c r="O62" s="20" t="str">
        <v>retailstandalone</v>
      </c>
      <c r="P62" s="20" t="str">
        <v>Space_Cooling</v>
      </c>
      <c r="Q62" s="119">
        <f t="shared" ref="Q62:R62" ca="1" si="145">(1-$C$4)*W62</f>
        <v>3.0700475672391547E-3</v>
      </c>
      <c r="R62" s="119">
        <f t="shared" ca="1" si="145"/>
        <v>0</v>
      </c>
      <c r="S62" s="20">
        <f t="shared" si="4"/>
        <v>0</v>
      </c>
      <c r="T62" s="128">
        <f t="shared" ref="T62:U62" ca="1" si="146">$S62*Q62</f>
        <v>0</v>
      </c>
      <c r="U62" s="128">
        <f t="shared" ca="1" si="146"/>
        <v>0</v>
      </c>
      <c r="W62" s="55">
        <f ca="1"/>
        <v>3.0700475672391547E-3</v>
      </c>
      <c r="X62" s="55">
        <f ca="1"/>
        <v>0</v>
      </c>
      <c r="Y62" s="21">
        <f ca="1">'nres bld calcs'!G54-S62</f>
        <v>16112615</v>
      </c>
      <c r="Z62" s="128">
        <f t="shared" ref="Z62:AA62" ca="1" si="147">$Y62*W62</f>
        <v>49466.494482611117</v>
      </c>
      <c r="AA62" s="128">
        <f t="shared" ca="1" si="147"/>
        <v>0</v>
      </c>
    </row>
    <row r="63" spans="1:27" ht="13.2">
      <c r="A63" s="108"/>
      <c r="F63" s="21"/>
      <c r="G63" s="108"/>
      <c r="N63" s="20" t="str">
        <v>Greene</v>
      </c>
      <c r="O63" s="20" t="str">
        <v>retailstandalone</v>
      </c>
      <c r="P63" s="20" t="str">
        <v>Space_Heating</v>
      </c>
      <c r="Q63" s="119">
        <f ca="1">IF($C$5="Yes",((1-$C$3)*X63/$G$3)+W63,(1-$C$3)*W63)</f>
        <v>1.1167306360988991E-3</v>
      </c>
      <c r="R63" s="119">
        <f ca="1">IF($C$5="Yes",0,(1-$C$3)*X63)</f>
        <v>2.0217647130962128E-2</v>
      </c>
      <c r="S63" s="20">
        <f t="shared" si="4"/>
        <v>0</v>
      </c>
      <c r="T63" s="128">
        <f t="shared" ref="T63:U63" ca="1" si="148">$S63*Q63</f>
        <v>0</v>
      </c>
      <c r="U63" s="128">
        <f t="shared" ca="1" si="148"/>
        <v>0</v>
      </c>
      <c r="W63" s="55">
        <f ca="1"/>
        <v>2.2334612721977981E-3</v>
      </c>
      <c r="X63" s="55">
        <f ca="1"/>
        <v>4.0435294261924257E-2</v>
      </c>
      <c r="Y63" s="21">
        <f ca="1">'nres bld calcs'!G55-S63</f>
        <v>16112615</v>
      </c>
      <c r="Z63" s="128">
        <f t="shared" ref="Z63:AA63" ca="1" si="149">$Y63*W63</f>
        <v>35986.901596333322</v>
      </c>
      <c r="AA63" s="128">
        <f t="shared" ca="1" si="149"/>
        <v>651518.32885409473</v>
      </c>
    </row>
    <row r="64" spans="1:27" ht="13.2">
      <c r="A64" s="108"/>
      <c r="F64" s="21"/>
      <c r="G64" s="108"/>
      <c r="N64" s="20" t="str">
        <v>Greene</v>
      </c>
      <c r="O64" s="20" t="str">
        <v>retailstandalone</v>
      </c>
      <c r="P64" s="20" t="str">
        <v>Water_Heating</v>
      </c>
      <c r="Q64" s="119">
        <f ca="1">IF($C$6="Yes",((1-$C$4)*X64/$G$3)+W64,(1-$C$4)*W64)</f>
        <v>0</v>
      </c>
      <c r="R64" s="119">
        <f ca="1">IF($C$6="Yes",0,(1-$C$4)*X64)</f>
        <v>0</v>
      </c>
      <c r="S64" s="20">
        <f t="shared" si="4"/>
        <v>0</v>
      </c>
      <c r="T64" s="128">
        <f t="shared" ref="T64:U64" ca="1" si="150">$S64*Q64</f>
        <v>0</v>
      </c>
      <c r="U64" s="128">
        <f t="shared" ca="1" si="150"/>
        <v>0</v>
      </c>
      <c r="W64" s="55">
        <f ca="1"/>
        <v>0</v>
      </c>
      <c r="X64" s="55">
        <f ca="1"/>
        <v>0</v>
      </c>
      <c r="Y64" s="21">
        <f ca="1">'nres bld calcs'!G56-S64</f>
        <v>16112615</v>
      </c>
      <c r="Z64" s="128">
        <f t="shared" ref="Z64:AA64" ca="1" si="151">$Y64*W64</f>
        <v>0</v>
      </c>
      <c r="AA64" s="128">
        <f t="shared" ca="1" si="151"/>
        <v>0</v>
      </c>
    </row>
    <row r="65" spans="1:27" ht="13.2">
      <c r="A65" s="108"/>
      <c r="F65" s="21"/>
      <c r="G65" s="108"/>
      <c r="N65" s="20" t="str">
        <v>Greene</v>
      </c>
      <c r="O65" s="20" t="str">
        <v>retailstripmall</v>
      </c>
      <c r="P65" s="20" t="str">
        <v>Aux_Equip</v>
      </c>
      <c r="Q65" s="119">
        <f t="shared" ref="Q65:R65" ca="1" si="152">(1-$C$4)*W65</f>
        <v>0</v>
      </c>
      <c r="R65" s="119">
        <f t="shared" ca="1" si="152"/>
        <v>0</v>
      </c>
      <c r="S65" s="20">
        <f t="shared" si="4"/>
        <v>0</v>
      </c>
      <c r="T65" s="128">
        <f t="shared" ref="T65:U65" ca="1" si="153">$S65*Q65</f>
        <v>0</v>
      </c>
      <c r="U65" s="128">
        <f t="shared" ca="1" si="153"/>
        <v>0</v>
      </c>
      <c r="W65" s="55">
        <f ca="1"/>
        <v>0</v>
      </c>
      <c r="X65" s="55">
        <f ca="1"/>
        <v>0</v>
      </c>
      <c r="Y65" s="21">
        <f>'nres bld calcs'!G57-S65</f>
        <v>0</v>
      </c>
      <c r="Z65" s="128">
        <f t="shared" ref="Z65:AA65" ca="1" si="154">$Y65*W65</f>
        <v>0</v>
      </c>
      <c r="AA65" s="128">
        <f t="shared" ca="1" si="154"/>
        <v>0</v>
      </c>
    </row>
    <row r="66" spans="1:27" ht="13.2">
      <c r="A66" s="108"/>
      <c r="F66" s="21"/>
      <c r="G66" s="108"/>
      <c r="N66" s="20" t="str">
        <v>Greene</v>
      </c>
      <c r="O66" s="20" t="str">
        <v>retailstripmall</v>
      </c>
      <c r="P66" s="20" t="str">
        <v>Aux_Motors</v>
      </c>
      <c r="Q66" s="119">
        <f t="shared" ref="Q66:R66" ca="1" si="155">(1-$C$4)*W66</f>
        <v>0</v>
      </c>
      <c r="R66" s="119">
        <f t="shared" ca="1" si="155"/>
        <v>0</v>
      </c>
      <c r="S66" s="20">
        <f t="shared" si="4"/>
        <v>0</v>
      </c>
      <c r="T66" s="128">
        <f t="shared" ref="T66:U66" ca="1" si="156">$S66*Q66</f>
        <v>0</v>
      </c>
      <c r="U66" s="128">
        <f t="shared" ca="1" si="156"/>
        <v>0</v>
      </c>
      <c r="W66" s="55">
        <f ca="1"/>
        <v>0</v>
      </c>
      <c r="X66" s="55">
        <f ca="1"/>
        <v>0</v>
      </c>
      <c r="Y66" s="21">
        <f>'nres bld calcs'!G58-S66</f>
        <v>0</v>
      </c>
      <c r="Z66" s="128">
        <f t="shared" ref="Z66:AA66" ca="1" si="157">$Y66*W66</f>
        <v>0</v>
      </c>
      <c r="AA66" s="128">
        <f t="shared" ca="1" si="157"/>
        <v>0</v>
      </c>
    </row>
    <row r="67" spans="1:27" ht="13.2">
      <c r="A67" s="108"/>
      <c r="F67" s="21"/>
      <c r="G67" s="108"/>
      <c r="N67" s="20" t="str">
        <v>Greene</v>
      </c>
      <c r="O67" s="20" t="str">
        <v>retailstripmall</v>
      </c>
      <c r="P67" s="20" t="str">
        <v>Lighting</v>
      </c>
      <c r="Q67" s="119">
        <f t="shared" ref="Q67:R67" ca="1" si="158">(1-$C$4)*W67</f>
        <v>0</v>
      </c>
      <c r="R67" s="119">
        <f t="shared" ca="1" si="158"/>
        <v>0</v>
      </c>
      <c r="S67" s="20">
        <f t="shared" si="4"/>
        <v>0</v>
      </c>
      <c r="T67" s="128">
        <f t="shared" ref="T67:U67" ca="1" si="159">$S67*Q67</f>
        <v>0</v>
      </c>
      <c r="U67" s="128">
        <f t="shared" ca="1" si="159"/>
        <v>0</v>
      </c>
      <c r="W67" s="55">
        <f ca="1"/>
        <v>0</v>
      </c>
      <c r="X67" s="55">
        <f ca="1"/>
        <v>0</v>
      </c>
      <c r="Y67" s="21">
        <f>'nres bld calcs'!G59-S67</f>
        <v>0</v>
      </c>
      <c r="Z67" s="128">
        <f t="shared" ref="Z67:AA67" ca="1" si="160">$Y67*W67</f>
        <v>0</v>
      </c>
      <c r="AA67" s="128">
        <f t="shared" ca="1" si="160"/>
        <v>0</v>
      </c>
    </row>
    <row r="68" spans="1:27" ht="13.2">
      <c r="A68" s="108"/>
      <c r="F68" s="21"/>
      <c r="G68" s="108"/>
      <c r="N68" s="20" t="str">
        <v>Greene</v>
      </c>
      <c r="O68" s="20" t="str">
        <v>retailstripmall</v>
      </c>
      <c r="P68" s="20" t="str">
        <v>Space_Cooling</v>
      </c>
      <c r="Q68" s="119">
        <f t="shared" ref="Q68:R68" ca="1" si="161">(1-$C$4)*W68</f>
        <v>0</v>
      </c>
      <c r="R68" s="119">
        <f t="shared" ca="1" si="161"/>
        <v>0</v>
      </c>
      <c r="S68" s="20">
        <f t="shared" si="4"/>
        <v>0</v>
      </c>
      <c r="T68" s="128">
        <f t="shared" ref="T68:U68" ca="1" si="162">$S68*Q68</f>
        <v>0</v>
      </c>
      <c r="U68" s="128">
        <f t="shared" ca="1" si="162"/>
        <v>0</v>
      </c>
      <c r="W68" s="55">
        <f ca="1"/>
        <v>0</v>
      </c>
      <c r="X68" s="55">
        <f ca="1"/>
        <v>0</v>
      </c>
      <c r="Y68" s="21">
        <f>'nres bld calcs'!G60-S68</f>
        <v>0</v>
      </c>
      <c r="Z68" s="128">
        <f t="shared" ref="Z68:AA68" ca="1" si="163">$Y68*W68</f>
        <v>0</v>
      </c>
      <c r="AA68" s="128">
        <f t="shared" ca="1" si="163"/>
        <v>0</v>
      </c>
    </row>
    <row r="69" spans="1:27" ht="13.2">
      <c r="A69" s="108"/>
      <c r="F69" s="21"/>
      <c r="G69" s="108"/>
      <c r="N69" s="20" t="str">
        <v>Greene</v>
      </c>
      <c r="O69" s="20" t="str">
        <v>retailstripmall</v>
      </c>
      <c r="P69" s="20" t="str">
        <v>Space_Heating</v>
      </c>
      <c r="Q69" s="119">
        <f ca="1">IF($C$5="Yes",((1-$C$3)*X69/$G$3)+W69,(1-$C$3)*W69)</f>
        <v>0</v>
      </c>
      <c r="R69" s="119">
        <f ca="1">IF($C$5="Yes",0,(1-$C$3)*X69)</f>
        <v>0</v>
      </c>
      <c r="S69" s="20">
        <f t="shared" si="4"/>
        <v>0</v>
      </c>
      <c r="T69" s="128">
        <f t="shared" ref="T69:U69" ca="1" si="164">$S69*Q69</f>
        <v>0</v>
      </c>
      <c r="U69" s="128">
        <f t="shared" ca="1" si="164"/>
        <v>0</v>
      </c>
      <c r="W69" s="55">
        <f ca="1"/>
        <v>0</v>
      </c>
      <c r="X69" s="55">
        <f ca="1"/>
        <v>0</v>
      </c>
      <c r="Y69" s="21">
        <f>'nres bld calcs'!G61-S69</f>
        <v>0</v>
      </c>
      <c r="Z69" s="128">
        <f t="shared" ref="Z69:AA69" ca="1" si="165">$Y69*W69</f>
        <v>0</v>
      </c>
      <c r="AA69" s="128">
        <f t="shared" ca="1" si="165"/>
        <v>0</v>
      </c>
    </row>
    <row r="70" spans="1:27" ht="13.2">
      <c r="A70" s="108"/>
      <c r="F70" s="21"/>
      <c r="G70" s="108"/>
      <c r="N70" s="20" t="str">
        <v>Greene</v>
      </c>
      <c r="O70" s="20" t="str">
        <v>retailstripmall</v>
      </c>
      <c r="P70" s="20" t="str">
        <v>Water_Heating</v>
      </c>
      <c r="Q70" s="119">
        <f ca="1">IF($C$6="Yes",((1-$C$4)*X70/$G$3)+W70,(1-$C$4)*W70)</f>
        <v>0</v>
      </c>
      <c r="R70" s="119">
        <f ca="1">IF($C$6="Yes",0,(1-$C$4)*X70)</f>
        <v>0</v>
      </c>
      <c r="S70" s="20">
        <f t="shared" si="4"/>
        <v>0</v>
      </c>
      <c r="T70" s="128">
        <f t="shared" ref="T70:U70" ca="1" si="166">$S70*Q70</f>
        <v>0</v>
      </c>
      <c r="U70" s="128">
        <f t="shared" ca="1" si="166"/>
        <v>0</v>
      </c>
      <c r="W70" s="55">
        <f ca="1"/>
        <v>0</v>
      </c>
      <c r="X70" s="55">
        <f ca="1"/>
        <v>0</v>
      </c>
      <c r="Y70" s="21">
        <f>'nres bld calcs'!G62-S70</f>
        <v>0</v>
      </c>
      <c r="Z70" s="128">
        <f t="shared" ref="Z70:AA70" ca="1" si="167">$Y70*W70</f>
        <v>0</v>
      </c>
      <c r="AA70" s="128">
        <f t="shared" ca="1" si="167"/>
        <v>0</v>
      </c>
    </row>
    <row r="71" spans="1:27" ht="13.2">
      <c r="A71" s="108"/>
      <c r="F71" s="21"/>
      <c r="G71" s="108"/>
      <c r="N71" s="20" t="str">
        <v>Greene</v>
      </c>
      <c r="O71" s="20" t="str">
        <v>secondaryschool</v>
      </c>
      <c r="P71" s="20" t="str">
        <v>Aux_Equip</v>
      </c>
      <c r="Q71" s="119">
        <f t="shared" ref="Q71:R71" ca="1" si="168">(1-$C$4)*W71</f>
        <v>0</v>
      </c>
      <c r="R71" s="119">
        <f t="shared" ca="1" si="168"/>
        <v>0</v>
      </c>
      <c r="S71" s="20">
        <f t="shared" si="4"/>
        <v>0</v>
      </c>
      <c r="T71" s="128">
        <f t="shared" ref="T71:U71" ca="1" si="169">$S71*Q71</f>
        <v>0</v>
      </c>
      <c r="U71" s="128">
        <f t="shared" ca="1" si="169"/>
        <v>0</v>
      </c>
      <c r="W71" s="55">
        <f ca="1"/>
        <v>0</v>
      </c>
      <c r="X71" s="55">
        <f ca="1"/>
        <v>0</v>
      </c>
      <c r="Y71" s="21">
        <f>'nres bld calcs'!G63-S71</f>
        <v>0</v>
      </c>
      <c r="Z71" s="128">
        <f t="shared" ref="Z71:AA71" ca="1" si="170">$Y71*W71</f>
        <v>0</v>
      </c>
      <c r="AA71" s="128">
        <f t="shared" ca="1" si="170"/>
        <v>0</v>
      </c>
    </row>
    <row r="72" spans="1:27" ht="13.2">
      <c r="A72" s="108"/>
      <c r="F72" s="21"/>
      <c r="G72" s="108"/>
      <c r="N72" s="20" t="str">
        <v>Greene</v>
      </c>
      <c r="O72" s="20" t="str">
        <v>secondaryschool</v>
      </c>
      <c r="P72" s="20" t="str">
        <v>Aux_Motors</v>
      </c>
      <c r="Q72" s="119">
        <f t="shared" ref="Q72:R72" ca="1" si="171">(1-$C$4)*W72</f>
        <v>0</v>
      </c>
      <c r="R72" s="119">
        <f t="shared" ca="1" si="171"/>
        <v>0</v>
      </c>
      <c r="S72" s="20">
        <f t="shared" si="4"/>
        <v>0</v>
      </c>
      <c r="T72" s="128">
        <f t="shared" ref="T72:U72" ca="1" si="172">$S72*Q72</f>
        <v>0</v>
      </c>
      <c r="U72" s="128">
        <f t="shared" ca="1" si="172"/>
        <v>0</v>
      </c>
      <c r="W72" s="55">
        <f ca="1"/>
        <v>0</v>
      </c>
      <c r="X72" s="55">
        <f ca="1"/>
        <v>0</v>
      </c>
      <c r="Y72" s="21">
        <f>'nres bld calcs'!G64-S72</f>
        <v>0</v>
      </c>
      <c r="Z72" s="128">
        <f t="shared" ref="Z72:AA72" ca="1" si="173">$Y72*W72</f>
        <v>0</v>
      </c>
      <c r="AA72" s="128">
        <f t="shared" ca="1" si="173"/>
        <v>0</v>
      </c>
    </row>
    <row r="73" spans="1:27" ht="13.2">
      <c r="A73" s="108"/>
      <c r="F73" s="21"/>
      <c r="G73" s="108"/>
      <c r="N73" s="20" t="str">
        <v>Greene</v>
      </c>
      <c r="O73" s="20" t="str">
        <v>secondaryschool</v>
      </c>
      <c r="P73" s="20" t="str">
        <v>Lighting</v>
      </c>
      <c r="Q73" s="119">
        <f t="shared" ref="Q73:R73" ca="1" si="174">(1-$C$4)*W73</f>
        <v>0</v>
      </c>
      <c r="R73" s="119">
        <f t="shared" ca="1" si="174"/>
        <v>0</v>
      </c>
      <c r="S73" s="20">
        <f t="shared" si="4"/>
        <v>0</v>
      </c>
      <c r="T73" s="128">
        <f t="shared" ref="T73:U73" ca="1" si="175">$S73*Q73</f>
        <v>0</v>
      </c>
      <c r="U73" s="128">
        <f t="shared" ca="1" si="175"/>
        <v>0</v>
      </c>
      <c r="W73" s="55">
        <f ca="1"/>
        <v>0</v>
      </c>
      <c r="X73" s="55">
        <f ca="1"/>
        <v>0</v>
      </c>
      <c r="Y73" s="21">
        <f>'nres bld calcs'!G65-S73</f>
        <v>0</v>
      </c>
      <c r="Z73" s="128">
        <f t="shared" ref="Z73:AA73" ca="1" si="176">$Y73*W73</f>
        <v>0</v>
      </c>
      <c r="AA73" s="128">
        <f t="shared" ca="1" si="176"/>
        <v>0</v>
      </c>
    </row>
    <row r="74" spans="1:27" ht="13.2">
      <c r="A74" s="108"/>
      <c r="F74" s="21"/>
      <c r="G74" s="108"/>
      <c r="N74" s="20" t="str">
        <v>Greene</v>
      </c>
      <c r="O74" s="20" t="str">
        <v>secondaryschool</v>
      </c>
      <c r="P74" s="20" t="str">
        <v>Space_Cooling</v>
      </c>
      <c r="Q74" s="119">
        <f t="shared" ref="Q74:R74" ca="1" si="177">(1-$C$4)*W74</f>
        <v>0</v>
      </c>
      <c r="R74" s="119">
        <f t="shared" ca="1" si="177"/>
        <v>0</v>
      </c>
      <c r="S74" s="20">
        <f t="shared" si="4"/>
        <v>0</v>
      </c>
      <c r="T74" s="128">
        <f t="shared" ref="T74:U74" ca="1" si="178">$S74*Q74</f>
        <v>0</v>
      </c>
      <c r="U74" s="128">
        <f t="shared" ca="1" si="178"/>
        <v>0</v>
      </c>
      <c r="W74" s="55">
        <f ca="1"/>
        <v>0</v>
      </c>
      <c r="X74" s="55">
        <f ca="1"/>
        <v>0</v>
      </c>
      <c r="Y74" s="21">
        <f>'nres bld calcs'!G66-S74</f>
        <v>0</v>
      </c>
      <c r="Z74" s="128">
        <f t="shared" ref="Z74:AA74" ca="1" si="179">$Y74*W74</f>
        <v>0</v>
      </c>
      <c r="AA74" s="128">
        <f t="shared" ca="1" si="179"/>
        <v>0</v>
      </c>
    </row>
    <row r="75" spans="1:27" ht="13.2">
      <c r="A75" s="108"/>
      <c r="F75" s="21"/>
      <c r="G75" s="108"/>
      <c r="N75" s="20" t="str">
        <v>Greene</v>
      </c>
      <c r="O75" s="20" t="str">
        <v>secondaryschool</v>
      </c>
      <c r="P75" s="20" t="str">
        <v>Space_Heating</v>
      </c>
      <c r="Q75" s="119">
        <f ca="1">IF($C$5="Yes",((1-$C$3)*X75/$G$3)+W75,(1-$C$3)*W75)</f>
        <v>0</v>
      </c>
      <c r="R75" s="119">
        <f ca="1">IF($C$5="Yes",0,(1-$C$3)*X75)</f>
        <v>0</v>
      </c>
      <c r="S75" s="20">
        <f t="shared" si="4"/>
        <v>0</v>
      </c>
      <c r="T75" s="128">
        <f t="shared" ref="T75:U75" ca="1" si="180">$S75*Q75</f>
        <v>0</v>
      </c>
      <c r="U75" s="128">
        <f t="shared" ca="1" si="180"/>
        <v>0</v>
      </c>
      <c r="W75" s="55">
        <f ca="1"/>
        <v>0</v>
      </c>
      <c r="X75" s="55">
        <f ca="1"/>
        <v>0</v>
      </c>
      <c r="Y75" s="21">
        <f>'nres bld calcs'!G67-S75</f>
        <v>0</v>
      </c>
      <c r="Z75" s="128">
        <f t="shared" ref="Z75:AA75" ca="1" si="181">$Y75*W75</f>
        <v>0</v>
      </c>
      <c r="AA75" s="128">
        <f t="shared" ca="1" si="181"/>
        <v>0</v>
      </c>
    </row>
    <row r="76" spans="1:27" ht="13.2">
      <c r="A76" s="108"/>
      <c r="F76" s="21"/>
      <c r="G76" s="108"/>
      <c r="N76" s="20" t="str">
        <v>Greene</v>
      </c>
      <c r="O76" s="20" t="str">
        <v>secondaryschool</v>
      </c>
      <c r="P76" s="20" t="str">
        <v>Water_Heating</v>
      </c>
      <c r="Q76" s="119">
        <f ca="1">IF($C$6="Yes",((1-$C$4)*X76/$G$3)+W76,(1-$C$4)*W76)</f>
        <v>0</v>
      </c>
      <c r="R76" s="119">
        <f ca="1">IF($C$6="Yes",0,(1-$C$4)*X76)</f>
        <v>0</v>
      </c>
      <c r="S76" s="20">
        <f t="shared" si="4"/>
        <v>0</v>
      </c>
      <c r="T76" s="128">
        <f t="shared" ref="T76:U76" ca="1" si="182">$S76*Q76</f>
        <v>0</v>
      </c>
      <c r="U76" s="128">
        <f t="shared" ca="1" si="182"/>
        <v>0</v>
      </c>
      <c r="W76" s="55">
        <f ca="1"/>
        <v>0</v>
      </c>
      <c r="X76" s="55">
        <f ca="1"/>
        <v>0</v>
      </c>
      <c r="Y76" s="21">
        <f>'nres bld calcs'!G68-S76</f>
        <v>0</v>
      </c>
      <c r="Z76" s="128">
        <f t="shared" ref="Z76:AA76" ca="1" si="183">$Y76*W76</f>
        <v>0</v>
      </c>
      <c r="AA76" s="128">
        <f t="shared" ca="1" si="183"/>
        <v>0</v>
      </c>
    </row>
    <row r="77" spans="1:27" ht="13.2">
      <c r="A77" s="108"/>
      <c r="F77" s="21"/>
      <c r="G77" s="108"/>
      <c r="N77" s="20" t="str">
        <v>Greene</v>
      </c>
      <c r="O77" s="20" t="str">
        <v>smallhotel</v>
      </c>
      <c r="P77" s="20" t="str">
        <v>Aux_Equip</v>
      </c>
      <c r="Q77" s="119">
        <f t="shared" ref="Q77:R77" ca="1" si="184">(1-$C$4)*W77</f>
        <v>1.210484307607693E-2</v>
      </c>
      <c r="R77" s="119">
        <f t="shared" ca="1" si="184"/>
        <v>1.6463199229382011E-2</v>
      </c>
      <c r="S77" s="20">
        <f t="shared" si="4"/>
        <v>0</v>
      </c>
      <c r="T77" s="128">
        <f t="shared" ref="T77:U77" ca="1" si="185">$S77*Q77</f>
        <v>0</v>
      </c>
      <c r="U77" s="128">
        <f t="shared" ca="1" si="185"/>
        <v>0</v>
      </c>
      <c r="W77" s="55">
        <f ca="1"/>
        <v>1.210484307607693E-2</v>
      </c>
      <c r="X77" s="55">
        <f ca="1"/>
        <v>1.6463199229382011E-2</v>
      </c>
      <c r="Y77" s="21">
        <f ca="1">'nres bld calcs'!G69-S77</f>
        <v>1622694</v>
      </c>
      <c r="Z77" s="128">
        <f t="shared" ref="Z77:AA77" ca="1" si="186">$Y77*W77</f>
        <v>19642.456230491578</v>
      </c>
      <c r="AA77" s="128">
        <f t="shared" ca="1" si="186"/>
        <v>26714.734610322812</v>
      </c>
    </row>
    <row r="78" spans="1:27" ht="13.2">
      <c r="A78" s="108"/>
      <c r="F78" s="21"/>
      <c r="G78" s="108"/>
      <c r="N78" s="20" t="str">
        <v>Greene</v>
      </c>
      <c r="O78" s="20" t="str">
        <v>smallhotel</v>
      </c>
      <c r="P78" s="20" t="str">
        <v>Aux_Motors</v>
      </c>
      <c r="Q78" s="119">
        <f t="shared" ref="Q78:R78" ca="1" si="187">(1-$C$4)*W78</f>
        <v>5.65431423454255E-3</v>
      </c>
      <c r="R78" s="119">
        <f t="shared" ca="1" si="187"/>
        <v>0</v>
      </c>
      <c r="S78" s="20">
        <f t="shared" si="4"/>
        <v>0</v>
      </c>
      <c r="T78" s="128">
        <f t="shared" ref="T78:U78" ca="1" si="188">$S78*Q78</f>
        <v>0</v>
      </c>
      <c r="U78" s="128">
        <f t="shared" ca="1" si="188"/>
        <v>0</v>
      </c>
      <c r="W78" s="55">
        <f ca="1"/>
        <v>5.65431423454255E-3</v>
      </c>
      <c r="X78" s="55">
        <f ca="1"/>
        <v>0</v>
      </c>
      <c r="Y78" s="21">
        <f ca="1">'nres bld calcs'!G70-S78</f>
        <v>1622694</v>
      </c>
      <c r="Z78" s="128">
        <f t="shared" ref="Z78:AA78" ca="1" si="189">$Y78*W78</f>
        <v>9175.2217825067892</v>
      </c>
      <c r="AA78" s="128">
        <f t="shared" ca="1" si="189"/>
        <v>0</v>
      </c>
    </row>
    <row r="79" spans="1:27" ht="13.2">
      <c r="A79" s="108"/>
      <c r="F79" s="21"/>
      <c r="G79" s="108"/>
      <c r="N79" s="20" t="str">
        <v>Greene</v>
      </c>
      <c r="O79" s="20" t="str">
        <v>smallhotel</v>
      </c>
      <c r="P79" s="20" t="str">
        <v>Lighting</v>
      </c>
      <c r="Q79" s="119">
        <f t="shared" ref="Q79:R79" ca="1" si="190">(1-$C$4)*W79</f>
        <v>8.5464853186703795E-3</v>
      </c>
      <c r="R79" s="119">
        <f t="shared" ca="1" si="190"/>
        <v>0</v>
      </c>
      <c r="S79" s="20">
        <f t="shared" si="4"/>
        <v>0</v>
      </c>
      <c r="T79" s="128">
        <f t="shared" ref="T79:U79" ca="1" si="191">$S79*Q79</f>
        <v>0</v>
      </c>
      <c r="U79" s="128">
        <f t="shared" ca="1" si="191"/>
        <v>0</v>
      </c>
      <c r="W79" s="55">
        <f ca="1"/>
        <v>8.5464853186703795E-3</v>
      </c>
      <c r="X79" s="55">
        <f ca="1"/>
        <v>0</v>
      </c>
      <c r="Y79" s="21">
        <f ca="1">'nres bld calcs'!G71-S79</f>
        <v>1622694</v>
      </c>
      <c r="Z79" s="128">
        <f t="shared" ref="Z79:AA79" ca="1" si="192">$Y79*W79</f>
        <v>13868.330447694512</v>
      </c>
      <c r="AA79" s="128">
        <f t="shared" ca="1" si="192"/>
        <v>0</v>
      </c>
    </row>
    <row r="80" spans="1:27" ht="13.2">
      <c r="A80" s="108"/>
      <c r="F80" s="21"/>
      <c r="G80" s="108"/>
      <c r="N80" s="20" t="str">
        <v>Greene</v>
      </c>
      <c r="O80" s="20" t="str">
        <v>smallhotel</v>
      </c>
      <c r="P80" s="20" t="str">
        <v>Space_Cooling</v>
      </c>
      <c r="Q80" s="119">
        <f t="shared" ref="Q80:R80" ca="1" si="193">(1-$C$4)*W80</f>
        <v>2.675263764362478E-3</v>
      </c>
      <c r="R80" s="119">
        <f t="shared" ca="1" si="193"/>
        <v>0</v>
      </c>
      <c r="S80" s="20">
        <f t="shared" si="4"/>
        <v>0</v>
      </c>
      <c r="T80" s="128">
        <f t="shared" ref="T80:U80" ca="1" si="194">$S80*Q80</f>
        <v>0</v>
      </c>
      <c r="U80" s="128">
        <f t="shared" ca="1" si="194"/>
        <v>0</v>
      </c>
      <c r="W80" s="55">
        <f ca="1"/>
        <v>2.675263764362478E-3</v>
      </c>
      <c r="X80" s="55">
        <f ca="1"/>
        <v>0</v>
      </c>
      <c r="Y80" s="21">
        <f ca="1">'nres bld calcs'!G72-S80</f>
        <v>1622694</v>
      </c>
      <c r="Z80" s="128">
        <f t="shared" ref="Z80:AA80" ca="1" si="195">$Y80*W80</f>
        <v>4341.1344588484071</v>
      </c>
      <c r="AA80" s="128">
        <f t="shared" ca="1" si="195"/>
        <v>0</v>
      </c>
    </row>
    <row r="81" spans="1:27" ht="13.2">
      <c r="A81" s="108"/>
      <c r="F81" s="21"/>
      <c r="G81" s="108"/>
      <c r="N81" s="20" t="str">
        <v>Greene</v>
      </c>
      <c r="O81" s="20" t="str">
        <v>smallhotel</v>
      </c>
      <c r="P81" s="20" t="str">
        <v>Space_Heating</v>
      </c>
      <c r="Q81" s="119">
        <f ca="1">IF($C$5="Yes",((1-$C$3)*X81/$G$3)+W81,(1-$C$3)*W81)</f>
        <v>0</v>
      </c>
      <c r="R81" s="119">
        <f ca="1">IF($C$5="Yes",0,(1-$C$3)*X81)</f>
        <v>6.5465339327506773E-3</v>
      </c>
      <c r="S81" s="20">
        <f t="shared" si="4"/>
        <v>0</v>
      </c>
      <c r="T81" s="128">
        <f t="shared" ref="T81:U81" ca="1" si="196">$S81*Q81</f>
        <v>0</v>
      </c>
      <c r="U81" s="128">
        <f t="shared" ca="1" si="196"/>
        <v>0</v>
      </c>
      <c r="W81" s="55">
        <f ca="1"/>
        <v>0</v>
      </c>
      <c r="X81" s="55">
        <f ca="1"/>
        <v>1.3093067865501355E-2</v>
      </c>
      <c r="Y81" s="21">
        <f ca="1">'nres bld calcs'!G73-S81</f>
        <v>1622694</v>
      </c>
      <c r="Z81" s="128">
        <f t="shared" ref="Z81:AA81" ca="1" si="197">$Y81*W81</f>
        <v>0</v>
      </c>
      <c r="AA81" s="128">
        <f t="shared" ca="1" si="197"/>
        <v>21246.042666941856</v>
      </c>
    </row>
    <row r="82" spans="1:27" ht="13.2">
      <c r="A82" s="108"/>
      <c r="F82" s="21"/>
      <c r="G82" s="108"/>
      <c r="N82" s="20" t="str">
        <v>Greene</v>
      </c>
      <c r="O82" s="20" t="str">
        <v>smallhotel</v>
      </c>
      <c r="P82" s="20" t="str">
        <v>Water_Heating</v>
      </c>
      <c r="Q82" s="119">
        <f ca="1">IF($C$6="Yes",((1-$C$4)*X82/$G$3)+W82,(1-$C$4)*W82)</f>
        <v>4.6093836448483014E-3</v>
      </c>
      <c r="R82" s="119">
        <f ca="1">IF($C$6="Yes",0,(1-$C$4)*X82)</f>
        <v>1.0879027167040896E-2</v>
      </c>
      <c r="S82" s="20">
        <f t="shared" si="4"/>
        <v>0</v>
      </c>
      <c r="T82" s="128">
        <f t="shared" ref="T82:U82" ca="1" si="198">$S82*Q82</f>
        <v>0</v>
      </c>
      <c r="U82" s="128">
        <f t="shared" ca="1" si="198"/>
        <v>0</v>
      </c>
      <c r="W82" s="55">
        <f ca="1"/>
        <v>4.6093836448483014E-3</v>
      </c>
      <c r="X82" s="55">
        <f ca="1"/>
        <v>1.0879027167040896E-2</v>
      </c>
      <c r="Y82" s="21">
        <f ca="1">'nres bld calcs'!G74-S82</f>
        <v>1622694</v>
      </c>
      <c r="Z82" s="128">
        <f t="shared" ref="Z82:AA82" ca="1" si="199">$Y82*W82</f>
        <v>7479.6191841934697</v>
      </c>
      <c r="AA82" s="128">
        <f t="shared" ca="1" si="199"/>
        <v>17653.332109794261</v>
      </c>
    </row>
    <row r="83" spans="1:27" ht="13.2">
      <c r="A83" s="108"/>
      <c r="F83" s="21"/>
      <c r="G83" s="108"/>
      <c r="N83" s="20" t="str">
        <v>Greene</v>
      </c>
      <c r="O83" s="20" t="str">
        <v>smalloffice</v>
      </c>
      <c r="P83" s="20" t="str">
        <v>Aux_Equip</v>
      </c>
      <c r="Q83" s="119">
        <f t="shared" ref="Q83:R83" ca="1" si="200">(1-$C$4)*W83</f>
        <v>0</v>
      </c>
      <c r="R83" s="119">
        <f t="shared" ca="1" si="200"/>
        <v>0</v>
      </c>
      <c r="S83" s="20">
        <f t="shared" si="4"/>
        <v>0</v>
      </c>
      <c r="T83" s="128">
        <f t="shared" ref="T83:U83" ca="1" si="201">$S83*Q83</f>
        <v>0</v>
      </c>
      <c r="U83" s="128">
        <f t="shared" ca="1" si="201"/>
        <v>0</v>
      </c>
      <c r="W83" s="55">
        <f ca="1"/>
        <v>0</v>
      </c>
      <c r="X83" s="55">
        <f ca="1"/>
        <v>0</v>
      </c>
      <c r="Y83" s="21">
        <f>'nres bld calcs'!G75-S83</f>
        <v>0</v>
      </c>
      <c r="Z83" s="128">
        <f t="shared" ref="Z83:AA83" ca="1" si="202">$Y83*W83</f>
        <v>0</v>
      </c>
      <c r="AA83" s="128">
        <f t="shared" ca="1" si="202"/>
        <v>0</v>
      </c>
    </row>
    <row r="84" spans="1:27" ht="13.2">
      <c r="A84" s="108"/>
      <c r="F84" s="21"/>
      <c r="G84" s="108"/>
      <c r="N84" s="20" t="str">
        <v>Greene</v>
      </c>
      <c r="O84" s="20" t="str">
        <v>smalloffice</v>
      </c>
      <c r="P84" s="20" t="str">
        <v>Aux_Motors</v>
      </c>
      <c r="Q84" s="119">
        <f t="shared" ref="Q84:R84" ca="1" si="203">(1-$C$4)*W84</f>
        <v>0</v>
      </c>
      <c r="R84" s="119">
        <f t="shared" ca="1" si="203"/>
        <v>0</v>
      </c>
      <c r="S84" s="20">
        <f t="shared" si="4"/>
        <v>0</v>
      </c>
      <c r="T84" s="128">
        <f t="shared" ref="T84:U84" ca="1" si="204">$S84*Q84</f>
        <v>0</v>
      </c>
      <c r="U84" s="128">
        <f t="shared" ca="1" si="204"/>
        <v>0</v>
      </c>
      <c r="W84" s="55">
        <f ca="1"/>
        <v>0</v>
      </c>
      <c r="X84" s="55">
        <f ca="1"/>
        <v>0</v>
      </c>
      <c r="Y84" s="21">
        <f>'nres bld calcs'!G76-S84</f>
        <v>0</v>
      </c>
      <c r="Z84" s="128">
        <f t="shared" ref="Z84:AA84" ca="1" si="205">$Y84*W84</f>
        <v>0</v>
      </c>
      <c r="AA84" s="128">
        <f t="shared" ca="1" si="205"/>
        <v>0</v>
      </c>
    </row>
    <row r="85" spans="1:27" ht="13.2">
      <c r="A85" s="108"/>
      <c r="F85" s="21"/>
      <c r="G85" s="108"/>
      <c r="N85" s="20" t="str">
        <v>Greene</v>
      </c>
      <c r="O85" s="20" t="str">
        <v>smalloffice</v>
      </c>
      <c r="P85" s="20" t="str">
        <v>Lighting</v>
      </c>
      <c r="Q85" s="119">
        <f t="shared" ref="Q85:R85" ca="1" si="206">(1-$C$4)*W85</f>
        <v>0</v>
      </c>
      <c r="R85" s="119">
        <f t="shared" ca="1" si="206"/>
        <v>0</v>
      </c>
      <c r="S85" s="20">
        <f t="shared" si="4"/>
        <v>0</v>
      </c>
      <c r="T85" s="128">
        <f t="shared" ref="T85:U85" ca="1" si="207">$S85*Q85</f>
        <v>0</v>
      </c>
      <c r="U85" s="128">
        <f t="shared" ca="1" si="207"/>
        <v>0</v>
      </c>
      <c r="W85" s="55">
        <f ca="1"/>
        <v>0</v>
      </c>
      <c r="X85" s="55">
        <f ca="1"/>
        <v>0</v>
      </c>
      <c r="Y85" s="21">
        <f>'nres bld calcs'!G77-S85</f>
        <v>0</v>
      </c>
      <c r="Z85" s="128">
        <f t="shared" ref="Z85:AA85" ca="1" si="208">$Y85*W85</f>
        <v>0</v>
      </c>
      <c r="AA85" s="128">
        <f t="shared" ca="1" si="208"/>
        <v>0</v>
      </c>
    </row>
    <row r="86" spans="1:27" ht="13.2">
      <c r="A86" s="108"/>
      <c r="F86" s="21"/>
      <c r="G86" s="108"/>
      <c r="N86" s="20" t="str">
        <v>Greene</v>
      </c>
      <c r="O86" s="20" t="str">
        <v>smalloffice</v>
      </c>
      <c r="P86" s="20" t="str">
        <v>Space_Cooling</v>
      </c>
      <c r="Q86" s="119">
        <f t="shared" ref="Q86:R86" ca="1" si="209">(1-$C$4)*W86</f>
        <v>0</v>
      </c>
      <c r="R86" s="119">
        <f t="shared" ca="1" si="209"/>
        <v>0</v>
      </c>
      <c r="S86" s="20">
        <f t="shared" si="4"/>
        <v>0</v>
      </c>
      <c r="T86" s="128">
        <f t="shared" ref="T86:U86" ca="1" si="210">$S86*Q86</f>
        <v>0</v>
      </c>
      <c r="U86" s="128">
        <f t="shared" ca="1" si="210"/>
        <v>0</v>
      </c>
      <c r="W86" s="55">
        <f ca="1"/>
        <v>0</v>
      </c>
      <c r="X86" s="55">
        <f ca="1"/>
        <v>0</v>
      </c>
      <c r="Y86" s="21">
        <f>'nres bld calcs'!G78-S86</f>
        <v>0</v>
      </c>
      <c r="Z86" s="128">
        <f t="shared" ref="Z86:AA86" ca="1" si="211">$Y86*W86</f>
        <v>0</v>
      </c>
      <c r="AA86" s="128">
        <f t="shared" ca="1" si="211"/>
        <v>0</v>
      </c>
    </row>
    <row r="87" spans="1:27" ht="13.2">
      <c r="A87" s="108"/>
      <c r="F87" s="21"/>
      <c r="G87" s="108"/>
      <c r="N87" s="20" t="str">
        <v>Greene</v>
      </c>
      <c r="O87" s="20" t="str">
        <v>smalloffice</v>
      </c>
      <c r="P87" s="20" t="str">
        <v>Space_Heating</v>
      </c>
      <c r="Q87" s="119">
        <f ca="1">IF($C$5="Yes",((1-$C$3)*X87/$G$3)+W87,(1-$C$3)*W87)</f>
        <v>0</v>
      </c>
      <c r="R87" s="119">
        <f ca="1">IF($C$5="Yes",0,(1-$C$3)*X87)</f>
        <v>0</v>
      </c>
      <c r="S87" s="20">
        <f t="shared" si="4"/>
        <v>0</v>
      </c>
      <c r="T87" s="128">
        <f t="shared" ref="T87:U87" ca="1" si="212">$S87*Q87</f>
        <v>0</v>
      </c>
      <c r="U87" s="128">
        <f t="shared" ca="1" si="212"/>
        <v>0</v>
      </c>
      <c r="W87" s="55">
        <f ca="1"/>
        <v>0</v>
      </c>
      <c r="X87" s="55">
        <f ca="1"/>
        <v>0</v>
      </c>
      <c r="Y87" s="21">
        <f>'nres bld calcs'!G79-S87</f>
        <v>0</v>
      </c>
      <c r="Z87" s="128">
        <f t="shared" ref="Z87:AA87" ca="1" si="213">$Y87*W87</f>
        <v>0</v>
      </c>
      <c r="AA87" s="128">
        <f t="shared" ca="1" si="213"/>
        <v>0</v>
      </c>
    </row>
    <row r="88" spans="1:27" ht="13.2">
      <c r="A88" s="108"/>
      <c r="F88" s="21"/>
      <c r="G88" s="108"/>
      <c r="N88" s="20" t="str">
        <v>Greene</v>
      </c>
      <c r="O88" s="20" t="str">
        <v>smalloffice</v>
      </c>
      <c r="P88" s="20" t="str">
        <v>Water_Heating</v>
      </c>
      <c r="Q88" s="119">
        <f ca="1">IF($C$6="Yes",((1-$C$4)*X88/$G$3)+W88,(1-$C$4)*W88)</f>
        <v>0</v>
      </c>
      <c r="R88" s="119">
        <f ca="1">IF($C$6="Yes",0,(1-$C$4)*X88)</f>
        <v>0</v>
      </c>
      <c r="S88" s="20">
        <f t="shared" si="4"/>
        <v>0</v>
      </c>
      <c r="T88" s="128">
        <f t="shared" ref="T88:U88" ca="1" si="214">$S88*Q88</f>
        <v>0</v>
      </c>
      <c r="U88" s="128">
        <f t="shared" ca="1" si="214"/>
        <v>0</v>
      </c>
      <c r="W88" s="55">
        <f ca="1"/>
        <v>0</v>
      </c>
      <c r="X88" s="55">
        <f ca="1"/>
        <v>0</v>
      </c>
      <c r="Y88" s="21">
        <f>'nres bld calcs'!G80-S88</f>
        <v>0</v>
      </c>
      <c r="Z88" s="128">
        <f t="shared" ref="Z88:AA88" ca="1" si="215">$Y88*W88</f>
        <v>0</v>
      </c>
      <c r="AA88" s="128">
        <f t="shared" ca="1" si="215"/>
        <v>0</v>
      </c>
    </row>
    <row r="89" spans="1:27" ht="13.2">
      <c r="A89" s="108"/>
      <c r="F89" s="21"/>
      <c r="G89" s="108"/>
      <c r="N89" s="20" t="str">
        <v>Greene</v>
      </c>
      <c r="O89" s="20" t="str">
        <v>warehouse</v>
      </c>
      <c r="P89" s="20" t="str">
        <v>Aux_Equip</v>
      </c>
      <c r="Q89" s="119">
        <f t="shared" ref="Q89:R89" ca="1" si="216">(1-$C$4)*W89</f>
        <v>1.7421806365676952E-2</v>
      </c>
      <c r="R89" s="119">
        <f t="shared" ca="1" si="216"/>
        <v>0</v>
      </c>
      <c r="S89" s="20">
        <f t="shared" si="4"/>
        <v>0</v>
      </c>
      <c r="T89" s="128">
        <f t="shared" ref="T89:U89" ca="1" si="217">$S89*Q89</f>
        <v>0</v>
      </c>
      <c r="U89" s="128">
        <f t="shared" ca="1" si="217"/>
        <v>0</v>
      </c>
      <c r="W89" s="55">
        <f ca="1"/>
        <v>1.7421806365676952E-2</v>
      </c>
      <c r="X89" s="55">
        <f ca="1"/>
        <v>0</v>
      </c>
      <c r="Y89" s="21">
        <f ca="1">'nres bld calcs'!G81-S89</f>
        <v>5882558</v>
      </c>
      <c r="Z89" s="128">
        <f t="shared" ref="Z89:AA89" ca="1" si="218">$Y89*W89</f>
        <v>102484.78641086388</v>
      </c>
      <c r="AA89" s="128">
        <f t="shared" ca="1" si="218"/>
        <v>0</v>
      </c>
    </row>
    <row r="90" spans="1:27" ht="13.2">
      <c r="A90" s="108"/>
      <c r="F90" s="21"/>
      <c r="G90" s="108"/>
      <c r="N90" s="20" t="str">
        <v>Greene</v>
      </c>
      <c r="O90" s="20" t="str">
        <v>warehouse</v>
      </c>
      <c r="P90" s="20" t="str">
        <v>Aux_Motors</v>
      </c>
      <c r="Q90" s="119">
        <f t="shared" ref="Q90:R90" ca="1" si="219">(1-$C$4)*W90</f>
        <v>1.207755066185757E-3</v>
      </c>
      <c r="R90" s="119">
        <f t="shared" ca="1" si="219"/>
        <v>0</v>
      </c>
      <c r="S90" s="20">
        <f t="shared" si="4"/>
        <v>0</v>
      </c>
      <c r="T90" s="128">
        <f t="shared" ref="T90:U90" ca="1" si="220">$S90*Q90</f>
        <v>0</v>
      </c>
      <c r="U90" s="128">
        <f t="shared" ca="1" si="220"/>
        <v>0</v>
      </c>
      <c r="W90" s="55">
        <f ca="1"/>
        <v>1.207755066185757E-3</v>
      </c>
      <c r="X90" s="55">
        <f ca="1"/>
        <v>0</v>
      </c>
      <c r="Y90" s="21">
        <f ca="1">'nres bld calcs'!G82-S90</f>
        <v>5882558</v>
      </c>
      <c r="Z90" s="128">
        <f t="shared" ref="Z90:AA90" ca="1" si="221">$Y90*W90</f>
        <v>7104.6892266315544</v>
      </c>
      <c r="AA90" s="128">
        <f t="shared" ca="1" si="221"/>
        <v>0</v>
      </c>
    </row>
    <row r="91" spans="1:27" ht="13.2">
      <c r="N91" s="20" t="str">
        <v>Greene</v>
      </c>
      <c r="O91" s="20" t="str">
        <v>warehouse</v>
      </c>
      <c r="P91" s="20" t="str">
        <v>Lighting</v>
      </c>
      <c r="Q91" s="119">
        <f t="shared" ref="Q91:R91" ca="1" si="222">(1-$C$4)*W91</f>
        <v>1.3238549089634434E-2</v>
      </c>
      <c r="R91" s="119">
        <f t="shared" ca="1" si="222"/>
        <v>0</v>
      </c>
      <c r="S91" s="20">
        <f t="shared" si="4"/>
        <v>0</v>
      </c>
      <c r="T91" s="128">
        <f t="shared" ref="T91:U91" ca="1" si="223">$S91*Q91</f>
        <v>0</v>
      </c>
      <c r="U91" s="128">
        <f t="shared" ca="1" si="223"/>
        <v>0</v>
      </c>
      <c r="W91" s="55">
        <f ca="1"/>
        <v>1.3238549089634434E-2</v>
      </c>
      <c r="X91" s="55">
        <f ca="1"/>
        <v>0</v>
      </c>
      <c r="Y91" s="21">
        <f ca="1">'nres bld calcs'!G83-S91</f>
        <v>5882558</v>
      </c>
      <c r="Z91" s="128">
        <f t="shared" ref="Z91:AA91" ca="1" si="224">$Y91*W91</f>
        <v>77876.532855621757</v>
      </c>
      <c r="AA91" s="128">
        <f t="shared" ca="1" si="224"/>
        <v>0</v>
      </c>
    </row>
    <row r="92" spans="1:27" ht="13.2">
      <c r="N92" s="20" t="str">
        <v>Greene</v>
      </c>
      <c r="O92" s="20" t="str">
        <v>warehouse</v>
      </c>
      <c r="P92" s="20" t="str">
        <v>Space_Cooling</v>
      </c>
      <c r="Q92" s="119">
        <f t="shared" ref="Q92:R92" ca="1" si="225">(1-$C$4)*W92</f>
        <v>3.9708816556713859E-4</v>
      </c>
      <c r="R92" s="119">
        <f t="shared" ca="1" si="225"/>
        <v>0</v>
      </c>
      <c r="S92" s="20">
        <f t="shared" si="4"/>
        <v>0</v>
      </c>
      <c r="T92" s="128">
        <f t="shared" ref="T92:U92" ca="1" si="226">$S92*Q92</f>
        <v>0</v>
      </c>
      <c r="U92" s="128">
        <f t="shared" ca="1" si="226"/>
        <v>0</v>
      </c>
      <c r="W92" s="55">
        <f ca="1"/>
        <v>3.9708816556713859E-4</v>
      </c>
      <c r="X92" s="55">
        <f ca="1"/>
        <v>0</v>
      </c>
      <c r="Y92" s="21">
        <f ca="1">'nres bld calcs'!G84-S92</f>
        <v>5882558</v>
      </c>
      <c r="Z92" s="128">
        <f t="shared" ref="Z92:AA92" ca="1" si="227">$Y92*W92</f>
        <v>2335.8941650622955</v>
      </c>
      <c r="AA92" s="128">
        <f t="shared" ca="1" si="227"/>
        <v>0</v>
      </c>
    </row>
    <row r="93" spans="1:27" ht="13.2">
      <c r="N93" s="20" t="str">
        <v>Greene</v>
      </c>
      <c r="O93" s="20" t="str">
        <v>warehouse</v>
      </c>
      <c r="P93" s="20" t="str">
        <v>Space_Heating</v>
      </c>
      <c r="Q93" s="119">
        <f ca="1">IF($C$5="Yes",((1-$C$3)*X93/$G$3)+W93,(1-$C$3)*W93)</f>
        <v>6.6254567571817397E-4</v>
      </c>
      <c r="R93" s="119">
        <f ca="1">IF($C$5="Yes",0,(1-$C$3)*X93)</f>
        <v>2.0217647130962128E-2</v>
      </c>
      <c r="S93" s="20">
        <f t="shared" si="4"/>
        <v>0</v>
      </c>
      <c r="T93" s="128">
        <f t="shared" ref="T93:U93" ca="1" si="228">$S93*Q93</f>
        <v>0</v>
      </c>
      <c r="U93" s="128">
        <f t="shared" ca="1" si="228"/>
        <v>0</v>
      </c>
      <c r="W93" s="55">
        <f ca="1"/>
        <v>1.3250913514363479E-3</v>
      </c>
      <c r="X93" s="55">
        <f ca="1"/>
        <v>4.0435294261924257E-2</v>
      </c>
      <c r="Y93" s="21">
        <f ca="1">'nres bld calcs'!G85-S93</f>
        <v>5882558</v>
      </c>
      <c r="Z93" s="128">
        <f t="shared" ref="Z93:AA93" ca="1" si="229">$Y93*W93</f>
        <v>7794.9267301227001</v>
      </c>
      <c r="AA93" s="128">
        <f t="shared" ca="1" si="229"/>
        <v>237862.96374283664</v>
      </c>
    </row>
    <row r="94" spans="1:27" ht="13.2">
      <c r="N94" s="20" t="str">
        <v>Greene</v>
      </c>
      <c r="O94" s="20" t="str">
        <v>warehouse</v>
      </c>
      <c r="P94" s="20" t="str">
        <v>Water_Heating</v>
      </c>
      <c r="Q94" s="119">
        <f ca="1">IF($C$6="Yes",((1-$C$4)*X94/$G$3)+W94,(1-$C$4)*W94)</f>
        <v>0</v>
      </c>
      <c r="R94" s="119">
        <f ca="1">IF($C$6="Yes",0,(1-$C$4)*X94)</f>
        <v>0</v>
      </c>
      <c r="S94" s="20">
        <f t="shared" si="4"/>
        <v>0</v>
      </c>
      <c r="T94" s="128">
        <f t="shared" ref="T94:U94" ca="1" si="230">$S94*Q94</f>
        <v>0</v>
      </c>
      <c r="U94" s="128">
        <f t="shared" ca="1" si="230"/>
        <v>0</v>
      </c>
      <c r="W94" s="55">
        <f ca="1"/>
        <v>0</v>
      </c>
      <c r="X94" s="55">
        <f ca="1"/>
        <v>0</v>
      </c>
      <c r="Y94" s="21">
        <f ca="1">'nres bld calcs'!G86-S94</f>
        <v>5882558</v>
      </c>
      <c r="Z94" s="128">
        <f t="shared" ref="Z94:AA94" ca="1" si="231">$Y94*W94</f>
        <v>0</v>
      </c>
      <c r="AA94" s="128">
        <f t="shared" ca="1" si="231"/>
        <v>0</v>
      </c>
    </row>
    <row r="95" spans="1:27" ht="13.2">
      <c r="N95" s="20" t="str">
        <v>Miami</v>
      </c>
      <c r="O95" s="20" t="str">
        <v>fullservicerestaurant</v>
      </c>
      <c r="P95" s="20" t="str">
        <v>Aux_Equip</v>
      </c>
      <c r="Q95" s="119">
        <f t="shared" ref="Q95:R95" ca="1" si="232">(1-$C$4)*W95</f>
        <v>8.9888208368651655E-3</v>
      </c>
      <c r="R95" s="119">
        <f t="shared" ca="1" si="232"/>
        <v>2.1804506205276724E-2</v>
      </c>
      <c r="S95" s="20">
        <f t="shared" si="4"/>
        <v>0</v>
      </c>
      <c r="T95" s="128">
        <f t="shared" ref="T95:U95" ca="1" si="233">$S95*Q95</f>
        <v>0</v>
      </c>
      <c r="U95" s="128">
        <f t="shared" ca="1" si="233"/>
        <v>0</v>
      </c>
      <c r="W95" s="55">
        <f ca="1"/>
        <v>8.9888208368651655E-3</v>
      </c>
      <c r="X95" s="55">
        <f ca="1"/>
        <v>2.1804506205276724E-2</v>
      </c>
      <c r="Y95" s="21">
        <f ca="1">'nres bld calcs'!G87-S95</f>
        <v>97746</v>
      </c>
      <c r="Z95" s="128">
        <f t="shared" ref="Z95:AA95" ca="1" si="234">$Y95*W95</f>
        <v>878.62128152022251</v>
      </c>
      <c r="AA95" s="128">
        <f t="shared" ca="1" si="234"/>
        <v>2131.3032635409786</v>
      </c>
    </row>
    <row r="96" spans="1:27" ht="13.2">
      <c r="N96" s="20" t="str">
        <v>Miami</v>
      </c>
      <c r="O96" s="20" t="str">
        <v>fullservicerestaurant</v>
      </c>
      <c r="P96" s="20" t="str">
        <v>Aux_Motors</v>
      </c>
      <c r="Q96" s="119">
        <f t="shared" ref="Q96:R96" ca="1" si="235">(1-$C$4)*W96</f>
        <v>7.8341069788528533E-3</v>
      </c>
      <c r="R96" s="119">
        <f t="shared" ca="1" si="235"/>
        <v>0</v>
      </c>
      <c r="S96" s="20">
        <f t="shared" si="4"/>
        <v>0</v>
      </c>
      <c r="T96" s="128">
        <f t="shared" ref="T96:U96" ca="1" si="236">$S96*Q96</f>
        <v>0</v>
      </c>
      <c r="U96" s="128">
        <f t="shared" ca="1" si="236"/>
        <v>0</v>
      </c>
      <c r="W96" s="55">
        <f ca="1"/>
        <v>7.8341069788528533E-3</v>
      </c>
      <c r="X96" s="55">
        <f ca="1"/>
        <v>0</v>
      </c>
      <c r="Y96" s="21">
        <f ca="1">'nres bld calcs'!G88-S96</f>
        <v>97746</v>
      </c>
      <c r="Z96" s="128">
        <f t="shared" ref="Z96:AA96" ca="1" si="237">$Y96*W96</f>
        <v>765.75262075495095</v>
      </c>
      <c r="AA96" s="128">
        <f t="shared" ca="1" si="237"/>
        <v>0</v>
      </c>
    </row>
    <row r="97" spans="14:27" ht="13.2">
      <c r="N97" s="20" t="str">
        <v>Miami</v>
      </c>
      <c r="O97" s="20" t="str">
        <v>fullservicerestaurant</v>
      </c>
      <c r="P97" s="20" t="str">
        <v>Lighting</v>
      </c>
      <c r="Q97" s="119">
        <f t="shared" ref="Q97:R97" ca="1" si="238">(1-$C$4)*W97</f>
        <v>3.318163252124091E-3</v>
      </c>
      <c r="R97" s="119">
        <f t="shared" ca="1" si="238"/>
        <v>0</v>
      </c>
      <c r="S97" s="20">
        <f t="shared" si="4"/>
        <v>0</v>
      </c>
      <c r="T97" s="128">
        <f t="shared" ref="T97:U97" ca="1" si="239">$S97*Q97</f>
        <v>0</v>
      </c>
      <c r="U97" s="128">
        <f t="shared" ca="1" si="239"/>
        <v>0</v>
      </c>
      <c r="W97" s="55">
        <f ca="1"/>
        <v>3.318163252124091E-3</v>
      </c>
      <c r="X97" s="55">
        <f ca="1"/>
        <v>0</v>
      </c>
      <c r="Y97" s="21">
        <f ca="1">'nres bld calcs'!G89-S97</f>
        <v>97746</v>
      </c>
      <c r="Z97" s="128">
        <f t="shared" ref="Z97:AA97" ca="1" si="240">$Y97*W97</f>
        <v>324.33718524212139</v>
      </c>
      <c r="AA97" s="128">
        <f t="shared" ca="1" si="240"/>
        <v>0</v>
      </c>
    </row>
    <row r="98" spans="14:27" ht="13.2">
      <c r="N98" s="20" t="str">
        <v>Miami</v>
      </c>
      <c r="O98" s="20" t="str">
        <v>fullservicerestaurant</v>
      </c>
      <c r="P98" s="20" t="str">
        <v>Space_Cooling</v>
      </c>
      <c r="Q98" s="119">
        <f t="shared" ref="Q98:R98" ca="1" si="241">(1-$C$4)*W98</f>
        <v>3.8177840456013329E-3</v>
      </c>
      <c r="R98" s="119">
        <f t="shared" ca="1" si="241"/>
        <v>0</v>
      </c>
      <c r="S98" s="20">
        <f t="shared" si="4"/>
        <v>0</v>
      </c>
      <c r="T98" s="128">
        <f t="shared" ref="T98:U98" ca="1" si="242">$S98*Q98</f>
        <v>0</v>
      </c>
      <c r="U98" s="128">
        <f t="shared" ca="1" si="242"/>
        <v>0</v>
      </c>
      <c r="W98" s="55">
        <f ca="1"/>
        <v>3.8177840456013329E-3</v>
      </c>
      <c r="X98" s="55">
        <f ca="1"/>
        <v>0</v>
      </c>
      <c r="Y98" s="21">
        <f ca="1">'nres bld calcs'!G90-S98</f>
        <v>97746</v>
      </c>
      <c r="Z98" s="128">
        <f t="shared" ref="Z98:AA98" ca="1" si="243">$Y98*W98</f>
        <v>373.17311932134788</v>
      </c>
      <c r="AA98" s="128">
        <f t="shared" ca="1" si="243"/>
        <v>0</v>
      </c>
    </row>
    <row r="99" spans="14:27" ht="13.2">
      <c r="N99" s="20" t="str">
        <v>Miami</v>
      </c>
      <c r="O99" s="20" t="str">
        <v>fullservicerestaurant</v>
      </c>
      <c r="P99" s="20" t="str">
        <v>Space_Heating</v>
      </c>
      <c r="Q99" s="119">
        <f ca="1">IF($C$5="Yes",((1-$C$3)*X99/$G$3)+W99,(1-$C$3)*W99)</f>
        <v>1.9416652612173921E-3</v>
      </c>
      <c r="R99" s="119">
        <f ca="1">IF($C$5="Yes",0,(1-$C$3)*X99)</f>
        <v>5.0039497978525971E-3</v>
      </c>
      <c r="S99" s="20">
        <f t="shared" si="4"/>
        <v>0</v>
      </c>
      <c r="T99" s="128">
        <f t="shared" ref="T99:U99" ca="1" si="244">$S99*Q99</f>
        <v>0</v>
      </c>
      <c r="U99" s="128">
        <f t="shared" ca="1" si="244"/>
        <v>0</v>
      </c>
      <c r="W99" s="55">
        <f ca="1"/>
        <v>3.8833305224347842E-3</v>
      </c>
      <c r="X99" s="55">
        <f ca="1"/>
        <v>1.0007899595705194E-2</v>
      </c>
      <c r="Y99" s="21">
        <f ca="1">'nres bld calcs'!G91-S99</f>
        <v>97746</v>
      </c>
      <c r="Z99" s="128">
        <f t="shared" ref="Z99:AA99" ca="1" si="245">$Y99*W99</f>
        <v>379.58002524591041</v>
      </c>
      <c r="AA99" s="128">
        <f t="shared" ca="1" si="245"/>
        <v>978.23215388179995</v>
      </c>
    </row>
    <row r="100" spans="14:27" ht="13.2">
      <c r="N100" s="20" t="str">
        <v>Miami</v>
      </c>
      <c r="O100" s="20" t="str">
        <v>fullservicerestaurant</v>
      </c>
      <c r="P100" s="20" t="str">
        <v>Water_Heating</v>
      </c>
      <c r="Q100" s="119">
        <f ca="1">IF($C$6="Yes",((1-$C$4)*X100/$G$3)+W100,(1-$C$4)*W100)</f>
        <v>6.2978064674181983E-3</v>
      </c>
      <c r="R100" s="119">
        <f ca="1">IF($C$6="Yes",0,(1-$C$4)*X100)</f>
        <v>9.0157771078459882E-3</v>
      </c>
      <c r="S100" s="20">
        <f t="shared" si="4"/>
        <v>0</v>
      </c>
      <c r="T100" s="128">
        <f t="shared" ref="T100:U100" ca="1" si="246">$S100*Q100</f>
        <v>0</v>
      </c>
      <c r="U100" s="128">
        <f t="shared" ca="1" si="246"/>
        <v>0</v>
      </c>
      <c r="W100" s="55">
        <f ca="1"/>
        <v>6.2978064674181983E-3</v>
      </c>
      <c r="X100" s="55">
        <f ca="1"/>
        <v>9.0157771078459882E-3</v>
      </c>
      <c r="Y100" s="21">
        <f ca="1">'nres bld calcs'!G92-S100</f>
        <v>97746</v>
      </c>
      <c r="Z100" s="128">
        <f t="shared" ref="Z100:AA100" ca="1" si="247">$Y100*W100</f>
        <v>615.5853909642592</v>
      </c>
      <c r="AA100" s="128">
        <f t="shared" ca="1" si="247"/>
        <v>881.25614918351391</v>
      </c>
    </row>
    <row r="101" spans="14:27" ht="13.2">
      <c r="N101" s="20" t="str">
        <v>Miami</v>
      </c>
      <c r="O101" s="20" t="str">
        <v>hospital</v>
      </c>
      <c r="P101" s="20" t="str">
        <v>Aux_Equip</v>
      </c>
      <c r="Q101" s="119">
        <f t="shared" ref="Q101:R101" ca="1" si="248">(1-$C$4)*W101</f>
        <v>0</v>
      </c>
      <c r="R101" s="119">
        <f t="shared" ca="1" si="248"/>
        <v>0</v>
      </c>
      <c r="S101" s="20">
        <f t="shared" si="4"/>
        <v>0</v>
      </c>
      <c r="T101" s="128">
        <f t="shared" ref="T101:U101" ca="1" si="249">$S101*Q101</f>
        <v>0</v>
      </c>
      <c r="U101" s="128">
        <f t="shared" ca="1" si="249"/>
        <v>0</v>
      </c>
      <c r="W101" s="55">
        <f ca="1"/>
        <v>0</v>
      </c>
      <c r="X101" s="55">
        <f ca="1"/>
        <v>0</v>
      </c>
      <c r="Y101" s="21">
        <f>'nres bld calcs'!G93-S101</f>
        <v>0</v>
      </c>
      <c r="Z101" s="128">
        <f t="shared" ref="Z101:AA101" ca="1" si="250">$Y101*W101</f>
        <v>0</v>
      </c>
      <c r="AA101" s="128">
        <f t="shared" ca="1" si="250"/>
        <v>0</v>
      </c>
    </row>
    <row r="102" spans="14:27" ht="13.2">
      <c r="N102" s="20" t="str">
        <v>Miami</v>
      </c>
      <c r="O102" s="20" t="str">
        <v>hospital</v>
      </c>
      <c r="P102" s="20" t="str">
        <v>Aux_Motors</v>
      </c>
      <c r="Q102" s="119">
        <f t="shared" ref="Q102:R102" ca="1" si="251">(1-$C$4)*W102</f>
        <v>0</v>
      </c>
      <c r="R102" s="119">
        <f t="shared" ca="1" si="251"/>
        <v>0</v>
      </c>
      <c r="S102" s="20">
        <f t="shared" si="4"/>
        <v>0</v>
      </c>
      <c r="T102" s="128">
        <f t="shared" ref="T102:U102" ca="1" si="252">$S102*Q102</f>
        <v>0</v>
      </c>
      <c r="U102" s="128">
        <f t="shared" ca="1" si="252"/>
        <v>0</v>
      </c>
      <c r="W102" s="55">
        <f ca="1"/>
        <v>0</v>
      </c>
      <c r="X102" s="55">
        <f ca="1"/>
        <v>0</v>
      </c>
      <c r="Y102" s="21">
        <f>'nres bld calcs'!G94-S102</f>
        <v>0</v>
      </c>
      <c r="Z102" s="128">
        <f t="shared" ref="Z102:AA102" ca="1" si="253">$Y102*W102</f>
        <v>0</v>
      </c>
      <c r="AA102" s="128">
        <f t="shared" ca="1" si="253"/>
        <v>0</v>
      </c>
    </row>
    <row r="103" spans="14:27" ht="13.2">
      <c r="N103" s="20" t="str">
        <v>Miami</v>
      </c>
      <c r="O103" s="20" t="str">
        <v>hospital</v>
      </c>
      <c r="P103" s="20" t="str">
        <v>Lighting</v>
      </c>
      <c r="Q103" s="119">
        <f t="shared" ref="Q103:R103" ca="1" si="254">(1-$C$4)*W103</f>
        <v>0</v>
      </c>
      <c r="R103" s="119">
        <f t="shared" ca="1" si="254"/>
        <v>0</v>
      </c>
      <c r="S103" s="20">
        <f t="shared" si="4"/>
        <v>0</v>
      </c>
      <c r="T103" s="128">
        <f t="shared" ref="T103:U103" ca="1" si="255">$S103*Q103</f>
        <v>0</v>
      </c>
      <c r="U103" s="128">
        <f t="shared" ca="1" si="255"/>
        <v>0</v>
      </c>
      <c r="W103" s="55">
        <f ca="1"/>
        <v>0</v>
      </c>
      <c r="X103" s="55">
        <f ca="1"/>
        <v>0</v>
      </c>
      <c r="Y103" s="21">
        <f>'nres bld calcs'!G95-S103</f>
        <v>0</v>
      </c>
      <c r="Z103" s="128">
        <f t="shared" ref="Z103:AA103" ca="1" si="256">$Y103*W103</f>
        <v>0</v>
      </c>
      <c r="AA103" s="128">
        <f t="shared" ca="1" si="256"/>
        <v>0</v>
      </c>
    </row>
    <row r="104" spans="14:27" ht="13.2">
      <c r="N104" s="20" t="str">
        <v>Miami</v>
      </c>
      <c r="O104" s="20" t="str">
        <v>hospital</v>
      </c>
      <c r="P104" s="20" t="str">
        <v>Space_Cooling</v>
      </c>
      <c r="Q104" s="119">
        <f t="shared" ref="Q104:R104" ca="1" si="257">(1-$C$4)*W104</f>
        <v>0</v>
      </c>
      <c r="R104" s="119">
        <f t="shared" ca="1" si="257"/>
        <v>0</v>
      </c>
      <c r="S104" s="20">
        <f t="shared" si="4"/>
        <v>0</v>
      </c>
      <c r="T104" s="128">
        <f t="shared" ref="T104:U104" ca="1" si="258">$S104*Q104</f>
        <v>0</v>
      </c>
      <c r="U104" s="128">
        <f t="shared" ca="1" si="258"/>
        <v>0</v>
      </c>
      <c r="W104" s="55">
        <f ca="1"/>
        <v>0</v>
      </c>
      <c r="X104" s="55">
        <f ca="1"/>
        <v>0</v>
      </c>
      <c r="Y104" s="21">
        <f>'nres bld calcs'!G96-S104</f>
        <v>0</v>
      </c>
      <c r="Z104" s="128">
        <f t="shared" ref="Z104:AA104" ca="1" si="259">$Y104*W104</f>
        <v>0</v>
      </c>
      <c r="AA104" s="128">
        <f t="shared" ca="1" si="259"/>
        <v>0</v>
      </c>
    </row>
    <row r="105" spans="14:27" ht="13.2">
      <c r="N105" s="20" t="str">
        <v>Miami</v>
      </c>
      <c r="O105" s="20" t="str">
        <v>hospital</v>
      </c>
      <c r="P105" s="20" t="str">
        <v>Space_Heating</v>
      </c>
      <c r="Q105" s="119">
        <f ca="1">IF($C$5="Yes",((1-$C$3)*X105/$G$3)+W105,(1-$C$3)*W105)</f>
        <v>0</v>
      </c>
      <c r="R105" s="119">
        <f ca="1">IF($C$5="Yes",0,(1-$C$3)*X105)</f>
        <v>0</v>
      </c>
      <c r="S105" s="20">
        <f t="shared" si="4"/>
        <v>0</v>
      </c>
      <c r="T105" s="128">
        <f t="shared" ref="T105:U105" ca="1" si="260">$S105*Q105</f>
        <v>0</v>
      </c>
      <c r="U105" s="128">
        <f t="shared" ca="1" si="260"/>
        <v>0</v>
      </c>
      <c r="W105" s="55">
        <f ca="1"/>
        <v>0</v>
      </c>
      <c r="X105" s="55">
        <f ca="1"/>
        <v>0</v>
      </c>
      <c r="Y105" s="21">
        <f>'nres bld calcs'!G97-S105</f>
        <v>0</v>
      </c>
      <c r="Z105" s="128">
        <f t="shared" ref="Z105:AA105" ca="1" si="261">$Y105*W105</f>
        <v>0</v>
      </c>
      <c r="AA105" s="128">
        <f t="shared" ca="1" si="261"/>
        <v>0</v>
      </c>
    </row>
    <row r="106" spans="14:27" ht="13.2">
      <c r="N106" s="20" t="str">
        <v>Miami</v>
      </c>
      <c r="O106" s="20" t="str">
        <v>hospital</v>
      </c>
      <c r="P106" s="20" t="str">
        <v>Water_Heating</v>
      </c>
      <c r="Q106" s="119">
        <f ca="1">IF($C$6="Yes",((1-$C$4)*X106/$G$3)+W106,(1-$C$4)*W106)</f>
        <v>0</v>
      </c>
      <c r="R106" s="119">
        <f ca="1">IF($C$6="Yes",0,(1-$C$4)*X106)</f>
        <v>0</v>
      </c>
      <c r="S106" s="20">
        <f t="shared" si="4"/>
        <v>0</v>
      </c>
      <c r="T106" s="128">
        <f t="shared" ref="T106:U106" ca="1" si="262">$S106*Q106</f>
        <v>0</v>
      </c>
      <c r="U106" s="128">
        <f t="shared" ca="1" si="262"/>
        <v>0</v>
      </c>
      <c r="W106" s="55">
        <f ca="1"/>
        <v>0</v>
      </c>
      <c r="X106" s="55">
        <f ca="1"/>
        <v>0</v>
      </c>
      <c r="Y106" s="21">
        <f>'nres bld calcs'!G98-S106</f>
        <v>0</v>
      </c>
      <c r="Z106" s="128">
        <f t="shared" ref="Z106:AA106" ca="1" si="263">$Y106*W106</f>
        <v>0</v>
      </c>
      <c r="AA106" s="128">
        <f t="shared" ca="1" si="263"/>
        <v>0</v>
      </c>
    </row>
    <row r="107" spans="14:27" ht="13.2">
      <c r="N107" s="20" t="str">
        <v>Miami</v>
      </c>
      <c r="O107" s="20" t="str">
        <v>largehotel</v>
      </c>
      <c r="P107" s="20" t="str">
        <v>Aux_Equip</v>
      </c>
      <c r="Q107" s="119">
        <f t="shared" ref="Q107:R107" ca="1" si="264">(1-$C$4)*W107</f>
        <v>0</v>
      </c>
      <c r="R107" s="119">
        <f t="shared" ca="1" si="264"/>
        <v>0</v>
      </c>
      <c r="S107" s="20">
        <f t="shared" si="4"/>
        <v>0</v>
      </c>
      <c r="T107" s="128">
        <f t="shared" ref="T107:U107" ca="1" si="265">$S107*Q107</f>
        <v>0</v>
      </c>
      <c r="U107" s="128">
        <f t="shared" ca="1" si="265"/>
        <v>0</v>
      </c>
      <c r="W107" s="55">
        <f ca="1"/>
        <v>0</v>
      </c>
      <c r="X107" s="55">
        <f ca="1"/>
        <v>0</v>
      </c>
      <c r="Y107" s="21">
        <f>'nres bld calcs'!G99-S107</f>
        <v>0</v>
      </c>
      <c r="Z107" s="128">
        <f t="shared" ref="Z107:AA107" ca="1" si="266">$Y107*W107</f>
        <v>0</v>
      </c>
      <c r="AA107" s="128">
        <f t="shared" ca="1" si="266"/>
        <v>0</v>
      </c>
    </row>
    <row r="108" spans="14:27" ht="13.2">
      <c r="N108" s="20" t="str">
        <v>Miami</v>
      </c>
      <c r="O108" s="20" t="str">
        <v>largehotel</v>
      </c>
      <c r="P108" s="20" t="str">
        <v>Aux_Motors</v>
      </c>
      <c r="Q108" s="119">
        <f t="shared" ref="Q108:R108" ca="1" si="267">(1-$C$4)*W108</f>
        <v>0</v>
      </c>
      <c r="R108" s="119">
        <f t="shared" ca="1" si="267"/>
        <v>0</v>
      </c>
      <c r="S108" s="20">
        <f t="shared" si="4"/>
        <v>0</v>
      </c>
      <c r="T108" s="128">
        <f t="shared" ref="T108:U108" ca="1" si="268">$S108*Q108</f>
        <v>0</v>
      </c>
      <c r="U108" s="128">
        <f t="shared" ca="1" si="268"/>
        <v>0</v>
      </c>
      <c r="W108" s="55">
        <f ca="1"/>
        <v>0</v>
      </c>
      <c r="X108" s="55">
        <f ca="1"/>
        <v>0</v>
      </c>
      <c r="Y108" s="21">
        <f>'nres bld calcs'!G100-S108</f>
        <v>0</v>
      </c>
      <c r="Z108" s="128">
        <f t="shared" ref="Z108:AA108" ca="1" si="269">$Y108*W108</f>
        <v>0</v>
      </c>
      <c r="AA108" s="128">
        <f t="shared" ca="1" si="269"/>
        <v>0</v>
      </c>
    </row>
    <row r="109" spans="14:27" ht="13.2">
      <c r="N109" s="20" t="str">
        <v>Miami</v>
      </c>
      <c r="O109" s="20" t="str">
        <v>largehotel</v>
      </c>
      <c r="P109" s="20" t="str">
        <v>Lighting</v>
      </c>
      <c r="Q109" s="119">
        <f t="shared" ref="Q109:R109" ca="1" si="270">(1-$C$4)*W109</f>
        <v>0</v>
      </c>
      <c r="R109" s="119">
        <f t="shared" ca="1" si="270"/>
        <v>0</v>
      </c>
      <c r="S109" s="20">
        <f t="shared" si="4"/>
        <v>0</v>
      </c>
      <c r="T109" s="128">
        <f t="shared" ref="T109:U109" ca="1" si="271">$S109*Q109</f>
        <v>0</v>
      </c>
      <c r="U109" s="128">
        <f t="shared" ca="1" si="271"/>
        <v>0</v>
      </c>
      <c r="W109" s="55">
        <f ca="1"/>
        <v>0</v>
      </c>
      <c r="X109" s="55">
        <f ca="1"/>
        <v>0</v>
      </c>
      <c r="Y109" s="21">
        <f>'nres bld calcs'!G101-S109</f>
        <v>0</v>
      </c>
      <c r="Z109" s="128">
        <f t="shared" ref="Z109:AA109" ca="1" si="272">$Y109*W109</f>
        <v>0</v>
      </c>
      <c r="AA109" s="128">
        <f t="shared" ca="1" si="272"/>
        <v>0</v>
      </c>
    </row>
    <row r="110" spans="14:27" ht="13.2">
      <c r="N110" s="20" t="str">
        <v>Miami</v>
      </c>
      <c r="O110" s="20" t="str">
        <v>largehotel</v>
      </c>
      <c r="P110" s="20" t="str">
        <v>Space_Cooling</v>
      </c>
      <c r="Q110" s="119">
        <f t="shared" ref="Q110:R110" ca="1" si="273">(1-$C$4)*W110</f>
        <v>0</v>
      </c>
      <c r="R110" s="119">
        <f t="shared" ca="1" si="273"/>
        <v>0</v>
      </c>
      <c r="S110" s="20">
        <f t="shared" si="4"/>
        <v>0</v>
      </c>
      <c r="T110" s="128">
        <f t="shared" ref="T110:U110" ca="1" si="274">$S110*Q110</f>
        <v>0</v>
      </c>
      <c r="U110" s="128">
        <f t="shared" ca="1" si="274"/>
        <v>0</v>
      </c>
      <c r="W110" s="55">
        <f ca="1"/>
        <v>0</v>
      </c>
      <c r="X110" s="55">
        <f ca="1"/>
        <v>0</v>
      </c>
      <c r="Y110" s="21">
        <f>'nres bld calcs'!G102-S110</f>
        <v>0</v>
      </c>
      <c r="Z110" s="128">
        <f t="shared" ref="Z110:AA110" ca="1" si="275">$Y110*W110</f>
        <v>0</v>
      </c>
      <c r="AA110" s="128">
        <f t="shared" ca="1" si="275"/>
        <v>0</v>
      </c>
    </row>
    <row r="111" spans="14:27" ht="13.2">
      <c r="N111" s="20" t="str">
        <v>Miami</v>
      </c>
      <c r="O111" s="20" t="str">
        <v>largehotel</v>
      </c>
      <c r="P111" s="20" t="str">
        <v>Space_Heating</v>
      </c>
      <c r="Q111" s="119">
        <f ca="1">IF($C$5="Yes",((1-$C$3)*X111/$G$3)+W111,(1-$C$3)*W111)</f>
        <v>0</v>
      </c>
      <c r="R111" s="119">
        <f ca="1">IF($C$5="Yes",0,(1-$C$3)*X111)</f>
        <v>0</v>
      </c>
      <c r="S111" s="20">
        <f t="shared" si="4"/>
        <v>0</v>
      </c>
      <c r="T111" s="128">
        <f t="shared" ref="T111:U111" ca="1" si="276">$S111*Q111</f>
        <v>0</v>
      </c>
      <c r="U111" s="128">
        <f t="shared" ca="1" si="276"/>
        <v>0</v>
      </c>
      <c r="W111" s="55">
        <f ca="1"/>
        <v>0</v>
      </c>
      <c r="X111" s="55">
        <f ca="1"/>
        <v>0</v>
      </c>
      <c r="Y111" s="21">
        <f>'nres bld calcs'!G103-S111</f>
        <v>0</v>
      </c>
      <c r="Z111" s="128">
        <f t="shared" ref="Z111:AA111" ca="1" si="277">$Y111*W111</f>
        <v>0</v>
      </c>
      <c r="AA111" s="128">
        <f t="shared" ca="1" si="277"/>
        <v>0</v>
      </c>
    </row>
    <row r="112" spans="14:27" ht="13.2">
      <c r="N112" s="20" t="str">
        <v>Miami</v>
      </c>
      <c r="O112" s="20" t="str">
        <v>largehotel</v>
      </c>
      <c r="P112" s="20" t="str">
        <v>Water_Heating</v>
      </c>
      <c r="Q112" s="119">
        <f ca="1">IF($C$6="Yes",((1-$C$4)*X112/$G$3)+W112,(1-$C$4)*W112)</f>
        <v>0</v>
      </c>
      <c r="R112" s="119">
        <f ca="1">IF($C$6="Yes",0,(1-$C$4)*X112)</f>
        <v>0</v>
      </c>
      <c r="S112" s="20">
        <f t="shared" si="4"/>
        <v>0</v>
      </c>
      <c r="T112" s="128">
        <f t="shared" ref="T112:U112" ca="1" si="278">$S112*Q112</f>
        <v>0</v>
      </c>
      <c r="U112" s="128">
        <f t="shared" ca="1" si="278"/>
        <v>0</v>
      </c>
      <c r="W112" s="55">
        <f ca="1"/>
        <v>0</v>
      </c>
      <c r="X112" s="55">
        <f ca="1"/>
        <v>0</v>
      </c>
      <c r="Y112" s="21">
        <f>'nres bld calcs'!G104-S112</f>
        <v>0</v>
      </c>
      <c r="Z112" s="128">
        <f t="shared" ref="Z112:AA112" ca="1" si="279">$Y112*W112</f>
        <v>0</v>
      </c>
      <c r="AA112" s="128">
        <f t="shared" ca="1" si="279"/>
        <v>0</v>
      </c>
    </row>
    <row r="113" spans="14:27" ht="13.2">
      <c r="N113" s="20" t="str">
        <v>Miami</v>
      </c>
      <c r="O113" s="20" t="str">
        <v>largeoffice</v>
      </c>
      <c r="P113" s="20" t="str">
        <v>Aux_Equip</v>
      </c>
      <c r="Q113" s="119">
        <f t="shared" ref="Q113:R113" ca="1" si="280">(1-$C$4)*W113</f>
        <v>0</v>
      </c>
      <c r="R113" s="119">
        <f t="shared" ca="1" si="280"/>
        <v>0</v>
      </c>
      <c r="S113" s="20">
        <f t="shared" si="4"/>
        <v>0</v>
      </c>
      <c r="T113" s="128">
        <f t="shared" ref="T113:U113" ca="1" si="281">$S113*Q113</f>
        <v>0</v>
      </c>
      <c r="U113" s="128">
        <f t="shared" ca="1" si="281"/>
        <v>0</v>
      </c>
      <c r="W113" s="55">
        <f ca="1"/>
        <v>0</v>
      </c>
      <c r="X113" s="55">
        <f ca="1"/>
        <v>0</v>
      </c>
      <c r="Y113" s="21">
        <f>'nres bld calcs'!G105-S113</f>
        <v>0</v>
      </c>
      <c r="Z113" s="128">
        <f t="shared" ref="Z113:AA113" ca="1" si="282">$Y113*W113</f>
        <v>0</v>
      </c>
      <c r="AA113" s="128">
        <f t="shared" ca="1" si="282"/>
        <v>0</v>
      </c>
    </row>
    <row r="114" spans="14:27" ht="13.2">
      <c r="N114" s="20" t="str">
        <v>Miami</v>
      </c>
      <c r="O114" s="20" t="str">
        <v>largeoffice</v>
      </c>
      <c r="P114" s="20" t="str">
        <v>Aux_Motors</v>
      </c>
      <c r="Q114" s="119">
        <f t="shared" ref="Q114:R114" ca="1" si="283">(1-$C$4)*W114</f>
        <v>0</v>
      </c>
      <c r="R114" s="119">
        <f t="shared" ca="1" si="283"/>
        <v>0</v>
      </c>
      <c r="S114" s="20">
        <f t="shared" si="4"/>
        <v>0</v>
      </c>
      <c r="T114" s="128">
        <f t="shared" ref="T114:U114" ca="1" si="284">$S114*Q114</f>
        <v>0</v>
      </c>
      <c r="U114" s="128">
        <f t="shared" ca="1" si="284"/>
        <v>0</v>
      </c>
      <c r="W114" s="55">
        <f ca="1"/>
        <v>0</v>
      </c>
      <c r="X114" s="55">
        <f ca="1"/>
        <v>0</v>
      </c>
      <c r="Y114" s="21">
        <f>'nres bld calcs'!G106-S114</f>
        <v>0</v>
      </c>
      <c r="Z114" s="128">
        <f t="shared" ref="Z114:AA114" ca="1" si="285">$Y114*W114</f>
        <v>0</v>
      </c>
      <c r="AA114" s="128">
        <f t="shared" ca="1" si="285"/>
        <v>0</v>
      </c>
    </row>
    <row r="115" spans="14:27" ht="13.2">
      <c r="N115" s="20" t="str">
        <v>Miami</v>
      </c>
      <c r="O115" s="20" t="str">
        <v>largeoffice</v>
      </c>
      <c r="P115" s="20" t="str">
        <v>Lighting</v>
      </c>
      <c r="Q115" s="119">
        <f t="shared" ref="Q115:R115" ca="1" si="286">(1-$C$4)*W115</f>
        <v>0</v>
      </c>
      <c r="R115" s="119">
        <f t="shared" ca="1" si="286"/>
        <v>0</v>
      </c>
      <c r="S115" s="20">
        <f t="shared" si="4"/>
        <v>0</v>
      </c>
      <c r="T115" s="128">
        <f t="shared" ref="T115:U115" ca="1" si="287">$S115*Q115</f>
        <v>0</v>
      </c>
      <c r="U115" s="128">
        <f t="shared" ca="1" si="287"/>
        <v>0</v>
      </c>
      <c r="W115" s="55">
        <f ca="1"/>
        <v>0</v>
      </c>
      <c r="X115" s="55">
        <f ca="1"/>
        <v>0</v>
      </c>
      <c r="Y115" s="21">
        <f>'nres bld calcs'!G107-S115</f>
        <v>0</v>
      </c>
      <c r="Z115" s="128">
        <f t="shared" ref="Z115:AA115" ca="1" si="288">$Y115*W115</f>
        <v>0</v>
      </c>
      <c r="AA115" s="128">
        <f t="shared" ca="1" si="288"/>
        <v>0</v>
      </c>
    </row>
    <row r="116" spans="14:27" ht="13.2">
      <c r="N116" s="20" t="str">
        <v>Miami</v>
      </c>
      <c r="O116" s="20" t="str">
        <v>largeoffice</v>
      </c>
      <c r="P116" s="20" t="str">
        <v>Space_Cooling</v>
      </c>
      <c r="Q116" s="119">
        <f t="shared" ref="Q116:R116" ca="1" si="289">(1-$C$4)*W116</f>
        <v>0</v>
      </c>
      <c r="R116" s="119">
        <f t="shared" ca="1" si="289"/>
        <v>0</v>
      </c>
      <c r="S116" s="20">
        <f t="shared" si="4"/>
        <v>0</v>
      </c>
      <c r="T116" s="128">
        <f t="shared" ref="T116:U116" ca="1" si="290">$S116*Q116</f>
        <v>0</v>
      </c>
      <c r="U116" s="128">
        <f t="shared" ca="1" si="290"/>
        <v>0</v>
      </c>
      <c r="W116" s="55">
        <f ca="1"/>
        <v>0</v>
      </c>
      <c r="X116" s="55">
        <f ca="1"/>
        <v>0</v>
      </c>
      <c r="Y116" s="21">
        <f>'nres bld calcs'!G108-S116</f>
        <v>0</v>
      </c>
      <c r="Z116" s="128">
        <f t="shared" ref="Z116:AA116" ca="1" si="291">$Y116*W116</f>
        <v>0</v>
      </c>
      <c r="AA116" s="128">
        <f t="shared" ca="1" si="291"/>
        <v>0</v>
      </c>
    </row>
    <row r="117" spans="14:27" ht="13.2">
      <c r="N117" s="20" t="str">
        <v>Miami</v>
      </c>
      <c r="O117" s="20" t="str">
        <v>largeoffice</v>
      </c>
      <c r="P117" s="20" t="str">
        <v>Space_Heating</v>
      </c>
      <c r="Q117" s="119">
        <f ca="1">IF($C$5="Yes",((1-$C$3)*X117/$G$3)+W117,(1-$C$3)*W117)</f>
        <v>0</v>
      </c>
      <c r="R117" s="119">
        <f ca="1">IF($C$5="Yes",0,(1-$C$3)*X117)</f>
        <v>0</v>
      </c>
      <c r="S117" s="20">
        <f t="shared" si="4"/>
        <v>0</v>
      </c>
      <c r="T117" s="128">
        <f t="shared" ref="T117:U117" ca="1" si="292">$S117*Q117</f>
        <v>0</v>
      </c>
      <c r="U117" s="128">
        <f t="shared" ca="1" si="292"/>
        <v>0</v>
      </c>
      <c r="W117" s="55">
        <f ca="1"/>
        <v>0</v>
      </c>
      <c r="X117" s="55">
        <f ca="1"/>
        <v>0</v>
      </c>
      <c r="Y117" s="21">
        <f>'nres bld calcs'!G109-S117</f>
        <v>0</v>
      </c>
      <c r="Z117" s="128">
        <f t="shared" ref="Z117:AA117" ca="1" si="293">$Y117*W117</f>
        <v>0</v>
      </c>
      <c r="AA117" s="128">
        <f t="shared" ca="1" si="293"/>
        <v>0</v>
      </c>
    </row>
    <row r="118" spans="14:27" ht="13.2">
      <c r="N118" s="20" t="str">
        <v>Miami</v>
      </c>
      <c r="O118" s="20" t="str">
        <v>largeoffice</v>
      </c>
      <c r="P118" s="20" t="str">
        <v>Water_Heating</v>
      </c>
      <c r="Q118" s="119">
        <f ca="1">IF($C$6="Yes",((1-$C$4)*X118/$G$3)+W118,(1-$C$4)*W118)</f>
        <v>0</v>
      </c>
      <c r="R118" s="119">
        <f ca="1">IF($C$6="Yes",0,(1-$C$4)*X118)</f>
        <v>0</v>
      </c>
      <c r="S118" s="20">
        <f t="shared" si="4"/>
        <v>0</v>
      </c>
      <c r="T118" s="128">
        <f t="shared" ref="T118:U118" ca="1" si="294">$S118*Q118</f>
        <v>0</v>
      </c>
      <c r="U118" s="128">
        <f t="shared" ca="1" si="294"/>
        <v>0</v>
      </c>
      <c r="W118" s="55">
        <f ca="1"/>
        <v>0</v>
      </c>
      <c r="X118" s="55">
        <f ca="1"/>
        <v>0</v>
      </c>
      <c r="Y118" s="21">
        <f>'nres bld calcs'!G110-S118</f>
        <v>0</v>
      </c>
      <c r="Z118" s="128">
        <f t="shared" ref="Z118:AA118" ca="1" si="295">$Y118*W118</f>
        <v>0</v>
      </c>
      <c r="AA118" s="128">
        <f t="shared" ca="1" si="295"/>
        <v>0</v>
      </c>
    </row>
    <row r="119" spans="14:27" ht="13.2">
      <c r="N119" s="20" t="str">
        <v>Miami</v>
      </c>
      <c r="O119" s="20" t="str">
        <v>mediumoffice</v>
      </c>
      <c r="P119" s="20" t="str">
        <v>Aux_Equip</v>
      </c>
      <c r="Q119" s="119">
        <f t="shared" ref="Q119:R119" ca="1" si="296">(1-$C$4)*W119</f>
        <v>1.8911234515246789E-2</v>
      </c>
      <c r="R119" s="119">
        <f t="shared" ca="1" si="296"/>
        <v>0</v>
      </c>
      <c r="S119" s="20">
        <f t="shared" si="4"/>
        <v>0</v>
      </c>
      <c r="T119" s="128">
        <f t="shared" ref="T119:U119" ca="1" si="297">$S119*Q119</f>
        <v>0</v>
      </c>
      <c r="U119" s="128">
        <f t="shared" ca="1" si="297"/>
        <v>0</v>
      </c>
      <c r="W119" s="55">
        <f ca="1"/>
        <v>1.8911234515246789E-2</v>
      </c>
      <c r="X119" s="55">
        <f ca="1"/>
        <v>0</v>
      </c>
      <c r="Y119" s="21">
        <f ca="1">'nres bld calcs'!G111-S119</f>
        <v>8424112</v>
      </c>
      <c r="Z119" s="128">
        <f t="shared" ref="Z119:AA119" ca="1" si="298">$Y119*W119</f>
        <v>159310.35761470467</v>
      </c>
      <c r="AA119" s="128">
        <f t="shared" ca="1" si="298"/>
        <v>0</v>
      </c>
    </row>
    <row r="120" spans="14:27" ht="13.2">
      <c r="N120" s="20" t="str">
        <v>Miami</v>
      </c>
      <c r="O120" s="20" t="str">
        <v>mediumoffice</v>
      </c>
      <c r="P120" s="20" t="str">
        <v>Aux_Motors</v>
      </c>
      <c r="Q120" s="119">
        <f t="shared" ref="Q120:R120" ca="1" si="299">(1-$C$4)*W120</f>
        <v>4.2515994308979649E-3</v>
      </c>
      <c r="R120" s="119">
        <f t="shared" ca="1" si="299"/>
        <v>0</v>
      </c>
      <c r="S120" s="20">
        <f t="shared" si="4"/>
        <v>0</v>
      </c>
      <c r="T120" s="128">
        <f t="shared" ref="T120:U120" ca="1" si="300">$S120*Q120</f>
        <v>0</v>
      </c>
      <c r="U120" s="128">
        <f t="shared" ca="1" si="300"/>
        <v>0</v>
      </c>
      <c r="W120" s="55">
        <f ca="1"/>
        <v>4.2515994308979649E-3</v>
      </c>
      <c r="X120" s="55">
        <f ca="1"/>
        <v>0</v>
      </c>
      <c r="Y120" s="21">
        <f ca="1">'nres bld calcs'!G112-S120</f>
        <v>8424112</v>
      </c>
      <c r="Z120" s="128">
        <f t="shared" ref="Z120:AA120" ca="1" si="301">$Y120*W120</f>
        <v>35815.949785020719</v>
      </c>
      <c r="AA120" s="128">
        <f t="shared" ca="1" si="301"/>
        <v>0</v>
      </c>
    </row>
    <row r="121" spans="14:27" ht="13.2">
      <c r="N121" s="20" t="str">
        <v>Miami</v>
      </c>
      <c r="O121" s="20" t="str">
        <v>mediumoffice</v>
      </c>
      <c r="P121" s="20" t="str">
        <v>Lighting</v>
      </c>
      <c r="Q121" s="119">
        <f t="shared" ref="Q121:R121" ca="1" si="302">(1-$C$4)*W121</f>
        <v>7.2083500513814161E-3</v>
      </c>
      <c r="R121" s="119">
        <f t="shared" ca="1" si="302"/>
        <v>0</v>
      </c>
      <c r="S121" s="20">
        <f t="shared" si="4"/>
        <v>0</v>
      </c>
      <c r="T121" s="128">
        <f t="shared" ref="T121:U121" ca="1" si="303">$S121*Q121</f>
        <v>0</v>
      </c>
      <c r="U121" s="128">
        <f t="shared" ca="1" si="303"/>
        <v>0</v>
      </c>
      <c r="W121" s="55">
        <f ca="1"/>
        <v>7.2083500513814161E-3</v>
      </c>
      <c r="X121" s="55">
        <f ca="1"/>
        <v>0</v>
      </c>
      <c r="Y121" s="21">
        <f ca="1">'nres bld calcs'!G113-S121</f>
        <v>8424112</v>
      </c>
      <c r="Z121" s="128">
        <f t="shared" ref="Z121:AA121" ca="1" si="304">$Y121*W121</f>
        <v>60723.948168042807</v>
      </c>
      <c r="AA121" s="128">
        <f t="shared" ca="1" si="304"/>
        <v>0</v>
      </c>
    </row>
    <row r="122" spans="14:27" ht="13.2">
      <c r="N122" s="20" t="str">
        <v>Miami</v>
      </c>
      <c r="O122" s="20" t="str">
        <v>mediumoffice</v>
      </c>
      <c r="P122" s="20" t="str">
        <v>Space_Cooling</v>
      </c>
      <c r="Q122" s="119">
        <f t="shared" ref="Q122:R122" ca="1" si="305">(1-$C$4)*W122</f>
        <v>3.295493950286439E-3</v>
      </c>
      <c r="R122" s="119">
        <f t="shared" ca="1" si="305"/>
        <v>0</v>
      </c>
      <c r="S122" s="20">
        <f t="shared" si="4"/>
        <v>0</v>
      </c>
      <c r="T122" s="128">
        <f t="shared" ref="T122:U122" ca="1" si="306">$S122*Q122</f>
        <v>0</v>
      </c>
      <c r="U122" s="128">
        <f t="shared" ca="1" si="306"/>
        <v>0</v>
      </c>
      <c r="W122" s="55">
        <f ca="1"/>
        <v>3.295493950286439E-3</v>
      </c>
      <c r="X122" s="55">
        <f ca="1"/>
        <v>0</v>
      </c>
      <c r="Y122" s="21">
        <f ca="1">'nres bld calcs'!G114-S122</f>
        <v>8424112</v>
      </c>
      <c r="Z122" s="128">
        <f t="shared" ref="Z122:AA122" ca="1" si="307">$Y122*W122</f>
        <v>27761.610132535396</v>
      </c>
      <c r="AA122" s="128">
        <f t="shared" ca="1" si="307"/>
        <v>0</v>
      </c>
    </row>
    <row r="123" spans="14:27" ht="13.2">
      <c r="N123" s="20" t="str">
        <v>Miami</v>
      </c>
      <c r="O123" s="20" t="str">
        <v>mediumoffice</v>
      </c>
      <c r="P123" s="20" t="str">
        <v>Space_Heating</v>
      </c>
      <c r="Q123" s="119">
        <f ca="1">IF($C$5="Yes",((1-$C$3)*X123/$G$3)+W123,(1-$C$3)*W123)</f>
        <v>2.1353136549049551E-6</v>
      </c>
      <c r="R123" s="119">
        <f ca="1">IF($C$5="Yes",0,(1-$C$3)*X123)</f>
        <v>1.815473039149846E-2</v>
      </c>
      <c r="S123" s="20">
        <f t="shared" si="4"/>
        <v>0</v>
      </c>
      <c r="T123" s="128">
        <f t="shared" ref="T123:U123" ca="1" si="308">$S123*Q123</f>
        <v>0</v>
      </c>
      <c r="U123" s="128">
        <f t="shared" ca="1" si="308"/>
        <v>0</v>
      </c>
      <c r="W123" s="55">
        <f ca="1"/>
        <v>4.2706273098099101E-6</v>
      </c>
      <c r="X123" s="55">
        <f ca="1"/>
        <v>3.6309460782996919E-2</v>
      </c>
      <c r="Y123" s="21">
        <f ca="1">'nres bld calcs'!G115-S123</f>
        <v>8424112</v>
      </c>
      <c r="Z123" s="128">
        <f t="shared" ref="Z123:AA123" ca="1" si="309">$Y123*W123</f>
        <v>35.976242768097379</v>
      </c>
      <c r="AA123" s="128">
        <f t="shared" ca="1" si="309"/>
        <v>305874.96429557377</v>
      </c>
    </row>
    <row r="124" spans="14:27" ht="13.2">
      <c r="N124" s="20" t="str">
        <v>Miami</v>
      </c>
      <c r="O124" s="20" t="str">
        <v>mediumoffice</v>
      </c>
      <c r="P124" s="20" t="str">
        <v>Water_Heating</v>
      </c>
      <c r="Q124" s="119">
        <f ca="1">IF($C$6="Yes",((1-$C$4)*X124/$G$3)+W124,(1-$C$4)*W124)</f>
        <v>4.690635281740018E-4</v>
      </c>
      <c r="R124" s="119">
        <f ca="1">IF($C$6="Yes",0,(1-$C$4)*X124)</f>
        <v>4.5187221258309856E-3</v>
      </c>
      <c r="S124" s="20">
        <f t="shared" si="4"/>
        <v>0</v>
      </c>
      <c r="T124" s="128">
        <f t="shared" ref="T124:U124" ca="1" si="310">$S124*Q124</f>
        <v>0</v>
      </c>
      <c r="U124" s="128">
        <f t="shared" ca="1" si="310"/>
        <v>0</v>
      </c>
      <c r="W124" s="55">
        <f ca="1"/>
        <v>4.690635281740018E-4</v>
      </c>
      <c r="X124" s="55">
        <f ca="1"/>
        <v>4.5187221258309856E-3</v>
      </c>
      <c r="Y124" s="21">
        <f ca="1">'nres bld calcs'!G116-S124</f>
        <v>8424112</v>
      </c>
      <c r="Z124" s="128">
        <f t="shared" ref="Z124:AA124" ca="1" si="311">$Y124*W124</f>
        <v>3951.4436964529468</v>
      </c>
      <c r="AA124" s="128">
        <f t="shared" ca="1" si="311"/>
        <v>38066.221284878317</v>
      </c>
    </row>
    <row r="125" spans="14:27" ht="13.2">
      <c r="N125" s="20" t="str">
        <v>Miami</v>
      </c>
      <c r="O125" s="20" t="str">
        <v>outpatient</v>
      </c>
      <c r="P125" s="20" t="str">
        <v>Aux_Equip</v>
      </c>
      <c r="Q125" s="119">
        <f t="shared" ref="Q125:R125" ca="1" si="312">(1-$C$4)*W125</f>
        <v>0</v>
      </c>
      <c r="R125" s="119">
        <f t="shared" ca="1" si="312"/>
        <v>0</v>
      </c>
      <c r="S125" s="20">
        <f t="shared" si="4"/>
        <v>0</v>
      </c>
      <c r="T125" s="128">
        <f t="shared" ref="T125:U125" ca="1" si="313">$S125*Q125</f>
        <v>0</v>
      </c>
      <c r="U125" s="128">
        <f t="shared" ca="1" si="313"/>
        <v>0</v>
      </c>
      <c r="W125" s="55">
        <f ca="1"/>
        <v>0</v>
      </c>
      <c r="X125" s="55">
        <f ca="1"/>
        <v>0</v>
      </c>
      <c r="Y125" s="21">
        <f>'nres bld calcs'!G117-S125</f>
        <v>0</v>
      </c>
      <c r="Z125" s="128">
        <f t="shared" ref="Z125:AA125" ca="1" si="314">$Y125*W125</f>
        <v>0</v>
      </c>
      <c r="AA125" s="128">
        <f t="shared" ca="1" si="314"/>
        <v>0</v>
      </c>
    </row>
    <row r="126" spans="14:27" ht="13.2">
      <c r="N126" s="20" t="str">
        <v>Miami</v>
      </c>
      <c r="O126" s="20" t="str">
        <v>outpatient</v>
      </c>
      <c r="P126" s="20" t="str">
        <v>Aux_Motors</v>
      </c>
      <c r="Q126" s="119">
        <f t="shared" ref="Q126:R126" ca="1" si="315">(1-$C$4)*W126</f>
        <v>0</v>
      </c>
      <c r="R126" s="119">
        <f t="shared" ca="1" si="315"/>
        <v>0</v>
      </c>
      <c r="S126" s="20">
        <f t="shared" si="4"/>
        <v>0</v>
      </c>
      <c r="T126" s="128">
        <f t="shared" ref="T126:U126" ca="1" si="316">$S126*Q126</f>
        <v>0</v>
      </c>
      <c r="U126" s="128">
        <f t="shared" ca="1" si="316"/>
        <v>0</v>
      </c>
      <c r="W126" s="55">
        <f ca="1"/>
        <v>0</v>
      </c>
      <c r="X126" s="55">
        <f ca="1"/>
        <v>0</v>
      </c>
      <c r="Y126" s="21">
        <f>'nres bld calcs'!G118-S126</f>
        <v>0</v>
      </c>
      <c r="Z126" s="128">
        <f t="shared" ref="Z126:AA126" ca="1" si="317">$Y126*W126</f>
        <v>0</v>
      </c>
      <c r="AA126" s="128">
        <f t="shared" ca="1" si="317"/>
        <v>0</v>
      </c>
    </row>
    <row r="127" spans="14:27" ht="13.2">
      <c r="N127" s="20" t="str">
        <v>Miami</v>
      </c>
      <c r="O127" s="20" t="str">
        <v>outpatient</v>
      </c>
      <c r="P127" s="20" t="str">
        <v>Lighting</v>
      </c>
      <c r="Q127" s="119">
        <f t="shared" ref="Q127:R127" ca="1" si="318">(1-$C$4)*W127</f>
        <v>0</v>
      </c>
      <c r="R127" s="119">
        <f t="shared" ca="1" si="318"/>
        <v>0</v>
      </c>
      <c r="S127" s="20">
        <f t="shared" si="4"/>
        <v>0</v>
      </c>
      <c r="T127" s="128">
        <f t="shared" ref="T127:U127" ca="1" si="319">$S127*Q127</f>
        <v>0</v>
      </c>
      <c r="U127" s="128">
        <f t="shared" ca="1" si="319"/>
        <v>0</v>
      </c>
      <c r="W127" s="55">
        <f ca="1"/>
        <v>0</v>
      </c>
      <c r="X127" s="55">
        <f ca="1"/>
        <v>0</v>
      </c>
      <c r="Y127" s="21">
        <f>'nres bld calcs'!G119-S127</f>
        <v>0</v>
      </c>
      <c r="Z127" s="128">
        <f t="shared" ref="Z127:AA127" ca="1" si="320">$Y127*W127</f>
        <v>0</v>
      </c>
      <c r="AA127" s="128">
        <f t="shared" ca="1" si="320"/>
        <v>0</v>
      </c>
    </row>
    <row r="128" spans="14:27" ht="13.2">
      <c r="N128" s="20" t="str">
        <v>Miami</v>
      </c>
      <c r="O128" s="20" t="str">
        <v>outpatient</v>
      </c>
      <c r="P128" s="20" t="str">
        <v>Space_Cooling</v>
      </c>
      <c r="Q128" s="119">
        <f t="shared" ref="Q128:R128" ca="1" si="321">(1-$C$4)*W128</f>
        <v>0</v>
      </c>
      <c r="R128" s="119">
        <f t="shared" ca="1" si="321"/>
        <v>0</v>
      </c>
      <c r="S128" s="20">
        <f t="shared" si="4"/>
        <v>0</v>
      </c>
      <c r="T128" s="128">
        <f t="shared" ref="T128:U128" ca="1" si="322">$S128*Q128</f>
        <v>0</v>
      </c>
      <c r="U128" s="128">
        <f t="shared" ca="1" si="322"/>
        <v>0</v>
      </c>
      <c r="W128" s="55">
        <f ca="1"/>
        <v>0</v>
      </c>
      <c r="X128" s="55">
        <f ca="1"/>
        <v>0</v>
      </c>
      <c r="Y128" s="21">
        <f>'nres bld calcs'!G120-S128</f>
        <v>0</v>
      </c>
      <c r="Z128" s="128">
        <f t="shared" ref="Z128:AA128" ca="1" si="323">$Y128*W128</f>
        <v>0</v>
      </c>
      <c r="AA128" s="128">
        <f t="shared" ca="1" si="323"/>
        <v>0</v>
      </c>
    </row>
    <row r="129" spans="14:27" ht="13.2">
      <c r="N129" s="20" t="str">
        <v>Miami</v>
      </c>
      <c r="O129" s="20" t="str">
        <v>outpatient</v>
      </c>
      <c r="P129" s="20" t="str">
        <v>Space_Heating</v>
      </c>
      <c r="Q129" s="119">
        <f ca="1">IF($C$5="Yes",((1-$C$3)*X129/$G$3)+W129,(1-$C$3)*W129)</f>
        <v>0</v>
      </c>
      <c r="R129" s="119">
        <f ca="1">IF($C$5="Yes",0,(1-$C$3)*X129)</f>
        <v>0</v>
      </c>
      <c r="S129" s="20">
        <f t="shared" si="4"/>
        <v>0</v>
      </c>
      <c r="T129" s="128">
        <f t="shared" ref="T129:U129" ca="1" si="324">$S129*Q129</f>
        <v>0</v>
      </c>
      <c r="U129" s="128">
        <f t="shared" ca="1" si="324"/>
        <v>0</v>
      </c>
      <c r="W129" s="55">
        <f ca="1"/>
        <v>0</v>
      </c>
      <c r="X129" s="55">
        <f ca="1"/>
        <v>0</v>
      </c>
      <c r="Y129" s="21">
        <f>'nres bld calcs'!G121-S129</f>
        <v>0</v>
      </c>
      <c r="Z129" s="128">
        <f t="shared" ref="Z129:AA129" ca="1" si="325">$Y129*W129</f>
        <v>0</v>
      </c>
      <c r="AA129" s="128">
        <f t="shared" ca="1" si="325"/>
        <v>0</v>
      </c>
    </row>
    <row r="130" spans="14:27" ht="13.2">
      <c r="N130" s="20" t="str">
        <v>Miami</v>
      </c>
      <c r="O130" s="20" t="str">
        <v>outpatient</v>
      </c>
      <c r="P130" s="20" t="str">
        <v>Water_Heating</v>
      </c>
      <c r="Q130" s="119">
        <f ca="1">IF($C$6="Yes",((1-$C$4)*X130/$G$3)+W130,(1-$C$4)*W130)</f>
        <v>0</v>
      </c>
      <c r="R130" s="119">
        <f ca="1">IF($C$6="Yes",0,(1-$C$4)*X130)</f>
        <v>0</v>
      </c>
      <c r="S130" s="20">
        <f t="shared" si="4"/>
        <v>0</v>
      </c>
      <c r="T130" s="128">
        <f t="shared" ref="T130:U130" ca="1" si="326">$S130*Q130</f>
        <v>0</v>
      </c>
      <c r="U130" s="128">
        <f t="shared" ca="1" si="326"/>
        <v>0</v>
      </c>
      <c r="W130" s="55">
        <f ca="1"/>
        <v>0</v>
      </c>
      <c r="X130" s="55">
        <f ca="1"/>
        <v>0</v>
      </c>
      <c r="Y130" s="21">
        <f>'nres bld calcs'!G122-S130</f>
        <v>0</v>
      </c>
      <c r="Z130" s="128">
        <f t="shared" ref="Z130:AA130" ca="1" si="327">$Y130*W130</f>
        <v>0</v>
      </c>
      <c r="AA130" s="128">
        <f t="shared" ca="1" si="327"/>
        <v>0</v>
      </c>
    </row>
    <row r="131" spans="14:27" ht="13.2">
      <c r="N131" s="20" t="str">
        <v>Miami</v>
      </c>
      <c r="O131" s="20" t="str">
        <v>primaryschool</v>
      </c>
      <c r="P131" s="20" t="str">
        <v>Aux_Equip</v>
      </c>
      <c r="Q131" s="119">
        <f t="shared" ref="Q131:R131" ca="1" si="328">(1-$C$4)*W131</f>
        <v>3.1524033853870012E-3</v>
      </c>
      <c r="R131" s="119">
        <f t="shared" ca="1" si="328"/>
        <v>4.3127844024704563E-3</v>
      </c>
      <c r="S131" s="20">
        <f t="shared" si="4"/>
        <v>0</v>
      </c>
      <c r="T131" s="128">
        <f t="shared" ref="T131:U131" ca="1" si="329">$S131*Q131</f>
        <v>0</v>
      </c>
      <c r="U131" s="128">
        <f t="shared" ca="1" si="329"/>
        <v>0</v>
      </c>
      <c r="W131" s="55">
        <f ca="1"/>
        <v>3.1524033853870012E-3</v>
      </c>
      <c r="X131" s="55">
        <f ca="1"/>
        <v>4.3127844024704563E-3</v>
      </c>
      <c r="Y131" s="21">
        <f ca="1">'nres bld calcs'!G123-S131</f>
        <v>3158100</v>
      </c>
      <c r="Z131" s="128">
        <f t="shared" ref="Z131:AA131" ca="1" si="330">$Y131*W131</f>
        <v>9955.6051313906883</v>
      </c>
      <c r="AA131" s="128">
        <f t="shared" ca="1" si="330"/>
        <v>13620.204421441947</v>
      </c>
    </row>
    <row r="132" spans="14:27" ht="13.2">
      <c r="N132" s="20" t="str">
        <v>Miami</v>
      </c>
      <c r="O132" s="20" t="str">
        <v>primaryschool</v>
      </c>
      <c r="P132" s="20" t="str">
        <v>Aux_Motors</v>
      </c>
      <c r="Q132" s="119">
        <f t="shared" ref="Q132:R132" ca="1" si="331">(1-$C$4)*W132</f>
        <v>1.0243709367025271E-2</v>
      </c>
      <c r="R132" s="119">
        <f t="shared" ca="1" si="331"/>
        <v>0</v>
      </c>
      <c r="S132" s="20">
        <f t="shared" si="4"/>
        <v>0</v>
      </c>
      <c r="T132" s="128">
        <f t="shared" ref="T132:U132" ca="1" si="332">$S132*Q132</f>
        <v>0</v>
      </c>
      <c r="U132" s="128">
        <f t="shared" ca="1" si="332"/>
        <v>0</v>
      </c>
      <c r="W132" s="55">
        <f ca="1"/>
        <v>1.0243709367025271E-2</v>
      </c>
      <c r="X132" s="55">
        <f ca="1"/>
        <v>0</v>
      </c>
      <c r="Y132" s="21">
        <f ca="1">'nres bld calcs'!G124-S132</f>
        <v>3158100</v>
      </c>
      <c r="Z132" s="128">
        <f t="shared" ref="Z132:AA132" ca="1" si="333">$Y132*W132</f>
        <v>32350.658552002511</v>
      </c>
      <c r="AA132" s="128">
        <f t="shared" ca="1" si="333"/>
        <v>0</v>
      </c>
    </row>
    <row r="133" spans="14:27" ht="13.2">
      <c r="N133" s="20" t="str">
        <v>Miami</v>
      </c>
      <c r="O133" s="20" t="str">
        <v>primaryschool</v>
      </c>
      <c r="P133" s="20" t="str">
        <v>Lighting</v>
      </c>
      <c r="Q133" s="119">
        <f t="shared" ref="Q133:R133" ca="1" si="334">(1-$C$4)*W133</f>
        <v>1.362038855771251E-2</v>
      </c>
      <c r="R133" s="119">
        <f t="shared" ca="1" si="334"/>
        <v>0</v>
      </c>
      <c r="S133" s="20">
        <f t="shared" si="4"/>
        <v>0</v>
      </c>
      <c r="T133" s="128">
        <f t="shared" ref="T133:U133" ca="1" si="335">$S133*Q133</f>
        <v>0</v>
      </c>
      <c r="U133" s="128">
        <f t="shared" ca="1" si="335"/>
        <v>0</v>
      </c>
      <c r="W133" s="55">
        <f ca="1"/>
        <v>1.362038855771251E-2</v>
      </c>
      <c r="X133" s="55">
        <f ca="1"/>
        <v>0</v>
      </c>
      <c r="Y133" s="21">
        <f ca="1">'nres bld calcs'!G125-S133</f>
        <v>3158100</v>
      </c>
      <c r="Z133" s="128">
        <f t="shared" ref="Z133:AA133" ca="1" si="336">$Y133*W133</f>
        <v>43014.54910411188</v>
      </c>
      <c r="AA133" s="128">
        <f t="shared" ca="1" si="336"/>
        <v>0</v>
      </c>
    </row>
    <row r="134" spans="14:27" ht="13.2">
      <c r="N134" s="20" t="str">
        <v>Miami</v>
      </c>
      <c r="O134" s="20" t="str">
        <v>primaryschool</v>
      </c>
      <c r="P134" s="20" t="str">
        <v>Space_Cooling</v>
      </c>
      <c r="Q134" s="119">
        <f t="shared" ref="Q134:R134" ca="1" si="337">(1-$C$4)*W134</f>
        <v>4.4374941323840518E-3</v>
      </c>
      <c r="R134" s="119">
        <f t="shared" ca="1" si="337"/>
        <v>0</v>
      </c>
      <c r="S134" s="20">
        <f t="shared" si="4"/>
        <v>0</v>
      </c>
      <c r="T134" s="128">
        <f t="shared" ref="T134:U134" ca="1" si="338">$S134*Q134</f>
        <v>0</v>
      </c>
      <c r="U134" s="128">
        <f t="shared" ca="1" si="338"/>
        <v>0</v>
      </c>
      <c r="W134" s="55">
        <f ca="1"/>
        <v>4.4374941323840518E-3</v>
      </c>
      <c r="X134" s="55">
        <f ca="1"/>
        <v>0</v>
      </c>
      <c r="Y134" s="21">
        <f ca="1">'nres bld calcs'!G126-S134</f>
        <v>3158100</v>
      </c>
      <c r="Z134" s="128">
        <f t="shared" ref="Z134:AA134" ca="1" si="339">$Y134*W134</f>
        <v>14014.050219482075</v>
      </c>
      <c r="AA134" s="128">
        <f t="shared" ca="1" si="339"/>
        <v>0</v>
      </c>
    </row>
    <row r="135" spans="14:27" ht="13.2">
      <c r="N135" s="20" t="str">
        <v>Miami</v>
      </c>
      <c r="O135" s="20" t="str">
        <v>primaryschool</v>
      </c>
      <c r="P135" s="20" t="str">
        <v>Space_Heating</v>
      </c>
      <c r="Q135" s="119">
        <f ca="1">IF($C$5="Yes",((1-$C$3)*X135/$G$3)+W135,(1-$C$3)*W135)</f>
        <v>0</v>
      </c>
      <c r="R135" s="119">
        <f ca="1">IF($C$5="Yes",0,(1-$C$3)*X135)</f>
        <v>1.6828849818303449E-2</v>
      </c>
      <c r="S135" s="20">
        <f t="shared" si="4"/>
        <v>0</v>
      </c>
      <c r="T135" s="128">
        <f t="shared" ref="T135:U135" ca="1" si="340">$S135*Q135</f>
        <v>0</v>
      </c>
      <c r="U135" s="128">
        <f t="shared" ca="1" si="340"/>
        <v>0</v>
      </c>
      <c r="W135" s="55">
        <f ca="1"/>
        <v>0</v>
      </c>
      <c r="X135" s="55">
        <f ca="1"/>
        <v>3.3657699636606898E-2</v>
      </c>
      <c r="Y135" s="21">
        <f ca="1">'nres bld calcs'!G127-S135</f>
        <v>3158100</v>
      </c>
      <c r="Z135" s="128">
        <f t="shared" ref="Z135:AA135" ca="1" si="341">$Y135*W135</f>
        <v>0</v>
      </c>
      <c r="AA135" s="128">
        <f t="shared" ca="1" si="341"/>
        <v>106294.38122236825</v>
      </c>
    </row>
    <row r="136" spans="14:27" ht="13.2">
      <c r="N136" s="20" t="str">
        <v>Miami</v>
      </c>
      <c r="O136" s="20" t="str">
        <v>primaryschool</v>
      </c>
      <c r="P136" s="20" t="str">
        <v>Water_Heating</v>
      </c>
      <c r="Q136" s="119">
        <f ca="1">IF($C$6="Yes",((1-$C$4)*X136/$G$3)+W136,(1-$C$4)*W136)</f>
        <v>2.6860166607875864E-3</v>
      </c>
      <c r="R136" s="119">
        <f ca="1">IF($C$6="Yes",0,(1-$C$4)*X136)</f>
        <v>2.8576988697505508E-3</v>
      </c>
      <c r="S136" s="20">
        <f t="shared" si="4"/>
        <v>0</v>
      </c>
      <c r="T136" s="128">
        <f t="shared" ref="T136:U136" ca="1" si="342">$S136*Q136</f>
        <v>0</v>
      </c>
      <c r="U136" s="128">
        <f t="shared" ca="1" si="342"/>
        <v>0</v>
      </c>
      <c r="W136" s="55">
        <f ca="1"/>
        <v>2.6860166607875864E-3</v>
      </c>
      <c r="X136" s="55">
        <f ca="1"/>
        <v>2.8576988697505508E-3</v>
      </c>
      <c r="Y136" s="21">
        <f ca="1">'nres bld calcs'!G128-S136</f>
        <v>3158100</v>
      </c>
      <c r="Z136" s="128">
        <f t="shared" ref="Z136:AA136" ca="1" si="343">$Y136*W136</f>
        <v>8482.7092164332771</v>
      </c>
      <c r="AA136" s="128">
        <f t="shared" ca="1" si="343"/>
        <v>9024.8988005592146</v>
      </c>
    </row>
    <row r="137" spans="14:27" ht="13.2">
      <c r="N137" s="20" t="str">
        <v>Miami</v>
      </c>
      <c r="O137" s="20" t="str">
        <v>quickservicerestaurant</v>
      </c>
      <c r="P137" s="20" t="str">
        <v>Aux_Equip</v>
      </c>
      <c r="Q137" s="119">
        <f t="shared" ref="Q137:R137" ca="1" si="344">(1-$C$4)*W137</f>
        <v>1.2080039140403504E-2</v>
      </c>
      <c r="R137" s="119">
        <f t="shared" ca="1" si="344"/>
        <v>2.9182680749773225E-2</v>
      </c>
      <c r="S137" s="20">
        <f t="shared" si="4"/>
        <v>0</v>
      </c>
      <c r="T137" s="128">
        <f t="shared" ref="T137:U137" ca="1" si="345">$S137*Q137</f>
        <v>0</v>
      </c>
      <c r="U137" s="128">
        <f t="shared" ca="1" si="345"/>
        <v>0</v>
      </c>
      <c r="W137" s="55">
        <f ca="1"/>
        <v>1.2080039140403504E-2</v>
      </c>
      <c r="X137" s="55">
        <f ca="1"/>
        <v>2.9182680749773225E-2</v>
      </c>
      <c r="Y137" s="21">
        <f ca="1">'nres bld calcs'!G129-S137</f>
        <v>379426</v>
      </c>
      <c r="Z137" s="128">
        <f t="shared" ref="Z137:AA137" ca="1" si="346">$Y137*W137</f>
        <v>4583.4809308867398</v>
      </c>
      <c r="AA137" s="128">
        <f t="shared" ca="1" si="346"/>
        <v>11072.667826163455</v>
      </c>
    </row>
    <row r="138" spans="14:27" ht="13.2">
      <c r="N138" s="20" t="str">
        <v>Miami</v>
      </c>
      <c r="O138" s="20" t="str">
        <v>quickservicerestaurant</v>
      </c>
      <c r="P138" s="20" t="str">
        <v>Aux_Motors</v>
      </c>
      <c r="Q138" s="119">
        <f t="shared" ref="Q138:R138" ca="1" si="347">(1-$C$4)*W138</f>
        <v>1.00365165855956E-2</v>
      </c>
      <c r="R138" s="119">
        <f t="shared" ca="1" si="347"/>
        <v>0</v>
      </c>
      <c r="S138" s="20">
        <f t="shared" si="4"/>
        <v>0</v>
      </c>
      <c r="T138" s="128">
        <f t="shared" ref="T138:U138" ca="1" si="348">$S138*Q138</f>
        <v>0</v>
      </c>
      <c r="U138" s="128">
        <f t="shared" ca="1" si="348"/>
        <v>0</v>
      </c>
      <c r="W138" s="55">
        <f ca="1"/>
        <v>1.00365165855956E-2</v>
      </c>
      <c r="X138" s="55">
        <f ca="1"/>
        <v>0</v>
      </c>
      <c r="Y138" s="21">
        <f ca="1">'nres bld calcs'!G130-S138</f>
        <v>379426</v>
      </c>
      <c r="Z138" s="128">
        <f t="shared" ref="Z138:AA138" ca="1" si="349">$Y138*W138</f>
        <v>3808.1153420061964</v>
      </c>
      <c r="AA138" s="128">
        <f t="shared" ca="1" si="349"/>
        <v>0</v>
      </c>
    </row>
    <row r="139" spans="14:27" ht="13.2">
      <c r="N139" s="20" t="str">
        <v>Miami</v>
      </c>
      <c r="O139" s="20" t="str">
        <v>quickservicerestaurant</v>
      </c>
      <c r="P139" s="20" t="str">
        <v>Lighting</v>
      </c>
      <c r="Q139" s="119">
        <f t="shared" ref="Q139:R139" ca="1" si="350">(1-$C$4)*W139</f>
        <v>5.773185155206648E-3</v>
      </c>
      <c r="R139" s="119">
        <f t="shared" ca="1" si="350"/>
        <v>0</v>
      </c>
      <c r="S139" s="20">
        <f t="shared" si="4"/>
        <v>0</v>
      </c>
      <c r="T139" s="128">
        <f t="shared" ref="T139:U139" ca="1" si="351">$S139*Q139</f>
        <v>0</v>
      </c>
      <c r="U139" s="128">
        <f t="shared" ca="1" si="351"/>
        <v>0</v>
      </c>
      <c r="W139" s="55">
        <f ca="1"/>
        <v>5.773185155206648E-3</v>
      </c>
      <c r="X139" s="55">
        <f ca="1"/>
        <v>0</v>
      </c>
      <c r="Y139" s="21">
        <f ca="1">'nres bld calcs'!G131-S139</f>
        <v>379426</v>
      </c>
      <c r="Z139" s="128">
        <f t="shared" ref="Z139:AA139" ca="1" si="352">$Y139*W139</f>
        <v>2190.4965506994376</v>
      </c>
      <c r="AA139" s="128">
        <f t="shared" ca="1" si="352"/>
        <v>0</v>
      </c>
    </row>
    <row r="140" spans="14:27" ht="13.2">
      <c r="N140" s="20" t="str">
        <v>Miami</v>
      </c>
      <c r="O140" s="20" t="str">
        <v>quickservicerestaurant</v>
      </c>
      <c r="P140" s="20" t="str">
        <v>Space_Cooling</v>
      </c>
      <c r="Q140" s="119">
        <f t="shared" ref="Q140:R140" ca="1" si="353">(1-$C$4)*W140</f>
        <v>3.4013404940027754E-3</v>
      </c>
      <c r="R140" s="119">
        <f t="shared" ca="1" si="353"/>
        <v>0</v>
      </c>
      <c r="S140" s="20">
        <f t="shared" si="4"/>
        <v>0</v>
      </c>
      <c r="T140" s="128">
        <f t="shared" ref="T140:U140" ca="1" si="354">$S140*Q140</f>
        <v>0</v>
      </c>
      <c r="U140" s="128">
        <f t="shared" ca="1" si="354"/>
        <v>0</v>
      </c>
      <c r="W140" s="55">
        <f ca="1"/>
        <v>3.4013404940027754E-3</v>
      </c>
      <c r="X140" s="55">
        <f ca="1"/>
        <v>0</v>
      </c>
      <c r="Y140" s="21">
        <f ca="1">'nres bld calcs'!G132-S140</f>
        <v>379426</v>
      </c>
      <c r="Z140" s="128">
        <f t="shared" ref="Z140:AA140" ca="1" si="355">$Y140*W140</f>
        <v>1290.557018277497</v>
      </c>
      <c r="AA140" s="128">
        <f t="shared" ca="1" si="355"/>
        <v>0</v>
      </c>
    </row>
    <row r="141" spans="14:27" ht="13.2">
      <c r="N141" s="20" t="str">
        <v>Miami</v>
      </c>
      <c r="O141" s="20" t="str">
        <v>quickservicerestaurant</v>
      </c>
      <c r="P141" s="20" t="str">
        <v>Space_Heating</v>
      </c>
      <c r="Q141" s="119">
        <f ca="1">IF($C$5="Yes",((1-$C$3)*X141/$G$3)+W141,(1-$C$3)*W141)</f>
        <v>0</v>
      </c>
      <c r="R141" s="119">
        <f ca="1">IF($C$5="Yes",0,(1-$C$3)*X141)</f>
        <v>4.8554033176229959E-3</v>
      </c>
      <c r="S141" s="20">
        <f t="shared" si="4"/>
        <v>0</v>
      </c>
      <c r="T141" s="128">
        <f t="shared" ref="T141:U141" ca="1" si="356">$S141*Q141</f>
        <v>0</v>
      </c>
      <c r="U141" s="128">
        <f t="shared" ca="1" si="356"/>
        <v>0</v>
      </c>
      <c r="W141" s="55">
        <f ca="1"/>
        <v>0</v>
      </c>
      <c r="X141" s="55">
        <f ca="1"/>
        <v>9.7108066352459919E-3</v>
      </c>
      <c r="Y141" s="21">
        <f ca="1">'nres bld calcs'!G133-S141</f>
        <v>379426</v>
      </c>
      <c r="Z141" s="128">
        <f t="shared" ref="Z141:AA141" ca="1" si="357">$Y141*W141</f>
        <v>0</v>
      </c>
      <c r="AA141" s="128">
        <f t="shared" ca="1" si="357"/>
        <v>3684.5325183848458</v>
      </c>
    </row>
    <row r="142" spans="14:27" ht="13.2">
      <c r="N142" s="20" t="str">
        <v>Miami</v>
      </c>
      <c r="O142" s="20" t="str">
        <v>quickservicerestaurant</v>
      </c>
      <c r="P142" s="20" t="str">
        <v>Water_Heating</v>
      </c>
      <c r="Q142" s="119">
        <f ca="1">IF($C$6="Yes",((1-$C$4)*X142/$G$3)+W142,(1-$C$4)*W142)</f>
        <v>2.8489307280878963E-3</v>
      </c>
      <c r="R142" s="119">
        <f ca="1">IF($C$6="Yes",0,(1-$C$4)*X142)</f>
        <v>1.934695523808696E-3</v>
      </c>
      <c r="S142" s="20">
        <f t="shared" si="4"/>
        <v>0</v>
      </c>
      <c r="T142" s="128">
        <f t="shared" ref="T142:U142" ca="1" si="358">$S142*Q142</f>
        <v>0</v>
      </c>
      <c r="U142" s="128">
        <f t="shared" ca="1" si="358"/>
        <v>0</v>
      </c>
      <c r="W142" s="55">
        <f ca="1"/>
        <v>2.8489307280878963E-3</v>
      </c>
      <c r="X142" s="55">
        <f ca="1"/>
        <v>1.934695523808696E-3</v>
      </c>
      <c r="Y142" s="21">
        <f ca="1">'nres bld calcs'!G134-S142</f>
        <v>379426</v>
      </c>
      <c r="Z142" s="128">
        <f t="shared" ref="Z142:AA142" ca="1" si="359">$Y142*W142</f>
        <v>1080.9583904354781</v>
      </c>
      <c r="AA142" s="128">
        <f t="shared" ca="1" si="359"/>
        <v>734.0737838166383</v>
      </c>
    </row>
    <row r="143" spans="14:27" ht="13.2">
      <c r="N143" s="20" t="str">
        <v>Miami</v>
      </c>
      <c r="O143" s="20" t="str">
        <v>retailstandalone</v>
      </c>
      <c r="P143" s="20" t="str">
        <v>Aux_Equip</v>
      </c>
      <c r="Q143" s="119">
        <f t="shared" ref="Q143:R143" ca="1" si="360">(1-$C$4)*W143</f>
        <v>3.5865974410423341E-3</v>
      </c>
      <c r="R143" s="119">
        <f t="shared" ca="1" si="360"/>
        <v>0</v>
      </c>
      <c r="S143" s="20">
        <f t="shared" si="4"/>
        <v>300000</v>
      </c>
      <c r="T143" s="128">
        <f t="shared" ref="T143:U143" ca="1" si="361">$S143*Q143</f>
        <v>1075.9792323127003</v>
      </c>
      <c r="U143" s="128">
        <f t="shared" ca="1" si="361"/>
        <v>0</v>
      </c>
      <c r="W143" s="55">
        <f ca="1"/>
        <v>3.5865974410423341E-3</v>
      </c>
      <c r="X143" s="55">
        <f ca="1"/>
        <v>0</v>
      </c>
      <c r="Y143" s="21">
        <f ca="1">'nres bld calcs'!G135-S143</f>
        <v>9778144</v>
      </c>
      <c r="Z143" s="128">
        <f t="shared" ref="Z143:AA143" ca="1" si="362">$Y143*W143</f>
        <v>35070.266248543456</v>
      </c>
      <c r="AA143" s="128">
        <f t="shared" ca="1" si="362"/>
        <v>0</v>
      </c>
    </row>
    <row r="144" spans="14:27" ht="13.2">
      <c r="N144" s="20" t="str">
        <v>Miami</v>
      </c>
      <c r="O144" s="20" t="str">
        <v>retailstandalone</v>
      </c>
      <c r="P144" s="20" t="str">
        <v>Aux_Motors</v>
      </c>
      <c r="Q144" s="119">
        <f t="shared" ref="Q144:R144" ca="1" si="363">(1-$C$4)*W144</f>
        <v>5.3114455399016361E-3</v>
      </c>
      <c r="R144" s="119">
        <f t="shared" ca="1" si="363"/>
        <v>0</v>
      </c>
      <c r="S144" s="20">
        <f t="shared" si="4"/>
        <v>300000</v>
      </c>
      <c r="T144" s="128">
        <f t="shared" ref="T144:U144" ca="1" si="364">$S144*Q144</f>
        <v>1593.4336619704909</v>
      </c>
      <c r="U144" s="128">
        <f t="shared" ca="1" si="364"/>
        <v>0</v>
      </c>
      <c r="W144" s="55">
        <f ca="1"/>
        <v>5.3114455399016361E-3</v>
      </c>
      <c r="X144" s="55">
        <f ca="1"/>
        <v>0</v>
      </c>
      <c r="Y144" s="21">
        <f ca="1">'nres bld calcs'!G136-S144</f>
        <v>9778144</v>
      </c>
      <c r="Z144" s="128">
        <f t="shared" ref="Z144:AA144" ca="1" si="365">$Y144*W144</f>
        <v>51936.079337315947</v>
      </c>
      <c r="AA144" s="128">
        <f t="shared" ca="1" si="365"/>
        <v>0</v>
      </c>
    </row>
    <row r="145" spans="14:27" ht="13.2">
      <c r="N145" s="20" t="str">
        <v>Miami</v>
      </c>
      <c r="O145" s="20" t="str">
        <v>retailstandalone</v>
      </c>
      <c r="P145" s="20" t="str">
        <v>Lighting</v>
      </c>
      <c r="Q145" s="119">
        <f t="shared" ref="Q145:R145" ca="1" si="366">(1-$C$4)*W145</f>
        <v>1.7850999750709973E-2</v>
      </c>
      <c r="R145" s="119">
        <f t="shared" ca="1" si="366"/>
        <v>0</v>
      </c>
      <c r="S145" s="20">
        <f t="shared" si="4"/>
        <v>300000</v>
      </c>
      <c r="T145" s="128">
        <f t="shared" ref="T145:U145" ca="1" si="367">$S145*Q145</f>
        <v>5355.2999252129921</v>
      </c>
      <c r="U145" s="128">
        <f t="shared" ca="1" si="367"/>
        <v>0</v>
      </c>
      <c r="W145" s="55">
        <f ca="1"/>
        <v>1.7850999750709973E-2</v>
      </c>
      <c r="X145" s="55">
        <f ca="1"/>
        <v>0</v>
      </c>
      <c r="Y145" s="21">
        <f ca="1">'nres bld calcs'!G137-S145</f>
        <v>9778144</v>
      </c>
      <c r="Z145" s="128">
        <f t="shared" ref="Z145:AA145" ca="1" si="368">$Y145*W145</f>
        <v>174549.6461064062</v>
      </c>
      <c r="AA145" s="128">
        <f t="shared" ca="1" si="368"/>
        <v>0</v>
      </c>
    </row>
    <row r="146" spans="14:27" ht="13.2">
      <c r="N146" s="20" t="str">
        <v>Miami</v>
      </c>
      <c r="O146" s="20" t="str">
        <v>retailstandalone</v>
      </c>
      <c r="P146" s="20" t="str">
        <v>Space_Cooling</v>
      </c>
      <c r="Q146" s="119">
        <f t="shared" ref="Q146:R146" ca="1" si="369">(1-$C$4)*W146</f>
        <v>3.1161743117448077E-3</v>
      </c>
      <c r="R146" s="119">
        <f t="shared" ca="1" si="369"/>
        <v>0</v>
      </c>
      <c r="S146" s="20">
        <f t="shared" si="4"/>
        <v>300000</v>
      </c>
      <c r="T146" s="128">
        <f t="shared" ref="T146:U146" ca="1" si="370">$S146*Q146</f>
        <v>934.85229352344231</v>
      </c>
      <c r="U146" s="128">
        <f t="shared" ca="1" si="370"/>
        <v>0</v>
      </c>
      <c r="W146" s="55">
        <f ca="1"/>
        <v>3.1161743117448077E-3</v>
      </c>
      <c r="X146" s="55">
        <f ca="1"/>
        <v>0</v>
      </c>
      <c r="Y146" s="21">
        <f ca="1">'nres bld calcs'!G138-S146</f>
        <v>9778144</v>
      </c>
      <c r="Z146" s="128">
        <f t="shared" ref="Z146:AA146" ca="1" si="371">$Y146*W146</f>
        <v>30470.401149341622</v>
      </c>
      <c r="AA146" s="128">
        <f t="shared" ca="1" si="371"/>
        <v>0</v>
      </c>
    </row>
    <row r="147" spans="14:27" ht="13.2">
      <c r="N147" s="20" t="str">
        <v>Miami</v>
      </c>
      <c r="O147" s="20" t="str">
        <v>retailstandalone</v>
      </c>
      <c r="P147" s="20" t="str">
        <v>Space_Heating</v>
      </c>
      <c r="Q147" s="119">
        <f ca="1">IF($C$5="Yes",((1-$C$3)*X147/$G$3)+W147,(1-$C$3)*W147)</f>
        <v>2.1373975299488371E-3</v>
      </c>
      <c r="R147" s="119">
        <f ca="1">IF($C$5="Yes",0,(1-$C$3)*X147)</f>
        <v>2.0414091454413957E-2</v>
      </c>
      <c r="S147" s="20">
        <f t="shared" si="4"/>
        <v>300000</v>
      </c>
      <c r="T147" s="128">
        <f t="shared" ref="T147:U147" ca="1" si="372">$S147*Q147</f>
        <v>641.21925898465111</v>
      </c>
      <c r="U147" s="128">
        <f t="shared" ca="1" si="372"/>
        <v>6124.2274363241868</v>
      </c>
      <c r="W147" s="55">
        <f ca="1"/>
        <v>4.2747950598976741E-3</v>
      </c>
      <c r="X147" s="55">
        <f ca="1"/>
        <v>4.0828182908827913E-2</v>
      </c>
      <c r="Y147" s="21">
        <f ca="1">'nres bld calcs'!G139-S147</f>
        <v>9778144</v>
      </c>
      <c r="Z147" s="128">
        <f t="shared" ref="Z147:AA147" ca="1" si="373">$Y147*W147</f>
        <v>41799.561666168083</v>
      </c>
      <c r="AA147" s="128">
        <f t="shared" ca="1" si="373"/>
        <v>399223.85174085823</v>
      </c>
    </row>
    <row r="148" spans="14:27" ht="13.2">
      <c r="N148" s="20" t="str">
        <v>Miami</v>
      </c>
      <c r="O148" s="20" t="str">
        <v>retailstandalone</v>
      </c>
      <c r="P148" s="20" t="str">
        <v>Water_Heating</v>
      </c>
      <c r="Q148" s="119">
        <f ca="1">IF($C$6="Yes",((1-$C$4)*X148/$G$3)+W148,(1-$C$4)*W148)</f>
        <v>0</v>
      </c>
      <c r="R148" s="119">
        <f ca="1">IF($C$6="Yes",0,(1-$C$4)*X148)</f>
        <v>0</v>
      </c>
      <c r="S148" s="20">
        <f t="shared" si="4"/>
        <v>300000</v>
      </c>
      <c r="T148" s="128">
        <f t="shared" ref="T148:U148" ca="1" si="374">$S148*Q148</f>
        <v>0</v>
      </c>
      <c r="U148" s="128">
        <f t="shared" ca="1" si="374"/>
        <v>0</v>
      </c>
      <c r="W148" s="55">
        <f ca="1"/>
        <v>0</v>
      </c>
      <c r="X148" s="55">
        <f ca="1"/>
        <v>0</v>
      </c>
      <c r="Y148" s="21">
        <f ca="1">'nres bld calcs'!G140-S148</f>
        <v>9778144</v>
      </c>
      <c r="Z148" s="128">
        <f t="shared" ref="Z148:AA148" ca="1" si="375">$Y148*W148</f>
        <v>0</v>
      </c>
      <c r="AA148" s="128">
        <f t="shared" ca="1" si="375"/>
        <v>0</v>
      </c>
    </row>
    <row r="149" spans="14:27" ht="13.2">
      <c r="N149" s="20" t="str">
        <v>Miami</v>
      </c>
      <c r="O149" s="20" t="str">
        <v>retailstripmall</v>
      </c>
      <c r="P149" s="20" t="str">
        <v>Aux_Equip</v>
      </c>
      <c r="Q149" s="119">
        <f t="shared" ref="Q149:R149" ca="1" si="376">(1-$C$4)*W149</f>
        <v>0</v>
      </c>
      <c r="R149" s="119">
        <f t="shared" ca="1" si="376"/>
        <v>0</v>
      </c>
      <c r="S149" s="20">
        <f t="shared" si="4"/>
        <v>0</v>
      </c>
      <c r="T149" s="128">
        <f t="shared" ref="T149:U149" ca="1" si="377">$S149*Q149</f>
        <v>0</v>
      </c>
      <c r="U149" s="128">
        <f t="shared" ca="1" si="377"/>
        <v>0</v>
      </c>
      <c r="W149" s="55">
        <f ca="1"/>
        <v>0</v>
      </c>
      <c r="X149" s="55">
        <f ca="1"/>
        <v>0</v>
      </c>
      <c r="Y149" s="21">
        <f>'nres bld calcs'!G141-S149</f>
        <v>0</v>
      </c>
      <c r="Z149" s="128">
        <f t="shared" ref="Z149:AA149" ca="1" si="378">$Y149*W149</f>
        <v>0</v>
      </c>
      <c r="AA149" s="128">
        <f t="shared" ca="1" si="378"/>
        <v>0</v>
      </c>
    </row>
    <row r="150" spans="14:27" ht="13.2">
      <c r="N150" s="20" t="str">
        <v>Miami</v>
      </c>
      <c r="O150" s="20" t="str">
        <v>retailstripmall</v>
      </c>
      <c r="P150" s="20" t="str">
        <v>Aux_Motors</v>
      </c>
      <c r="Q150" s="119">
        <f t="shared" ref="Q150:R150" ca="1" si="379">(1-$C$4)*W150</f>
        <v>0</v>
      </c>
      <c r="R150" s="119">
        <f t="shared" ca="1" si="379"/>
        <v>0</v>
      </c>
      <c r="S150" s="20">
        <f t="shared" si="4"/>
        <v>0</v>
      </c>
      <c r="T150" s="128">
        <f t="shared" ref="T150:U150" ca="1" si="380">$S150*Q150</f>
        <v>0</v>
      </c>
      <c r="U150" s="128">
        <f t="shared" ca="1" si="380"/>
        <v>0</v>
      </c>
      <c r="W150" s="55">
        <f ca="1"/>
        <v>0</v>
      </c>
      <c r="X150" s="55">
        <f ca="1"/>
        <v>0</v>
      </c>
      <c r="Y150" s="21">
        <f>'nres bld calcs'!G142-S150</f>
        <v>0</v>
      </c>
      <c r="Z150" s="128">
        <f t="shared" ref="Z150:AA150" ca="1" si="381">$Y150*W150</f>
        <v>0</v>
      </c>
      <c r="AA150" s="128">
        <f t="shared" ca="1" si="381"/>
        <v>0</v>
      </c>
    </row>
    <row r="151" spans="14:27" ht="13.2">
      <c r="N151" s="20" t="str">
        <v>Miami</v>
      </c>
      <c r="O151" s="20" t="str">
        <v>retailstripmall</v>
      </c>
      <c r="P151" s="20" t="str">
        <v>Lighting</v>
      </c>
      <c r="Q151" s="119">
        <f t="shared" ref="Q151:R151" ca="1" si="382">(1-$C$4)*W151</f>
        <v>0</v>
      </c>
      <c r="R151" s="119">
        <f t="shared" ca="1" si="382"/>
        <v>0</v>
      </c>
      <c r="S151" s="20">
        <f t="shared" si="4"/>
        <v>0</v>
      </c>
      <c r="T151" s="128">
        <f t="shared" ref="T151:U151" ca="1" si="383">$S151*Q151</f>
        <v>0</v>
      </c>
      <c r="U151" s="128">
        <f t="shared" ca="1" si="383"/>
        <v>0</v>
      </c>
      <c r="W151" s="55">
        <f ca="1"/>
        <v>0</v>
      </c>
      <c r="X151" s="55">
        <f ca="1"/>
        <v>0</v>
      </c>
      <c r="Y151" s="21">
        <f>'nres bld calcs'!G143-S151</f>
        <v>0</v>
      </c>
      <c r="Z151" s="128">
        <f t="shared" ref="Z151:AA151" ca="1" si="384">$Y151*W151</f>
        <v>0</v>
      </c>
      <c r="AA151" s="128">
        <f t="shared" ca="1" si="384"/>
        <v>0</v>
      </c>
    </row>
    <row r="152" spans="14:27" ht="13.2">
      <c r="N152" s="20" t="str">
        <v>Miami</v>
      </c>
      <c r="O152" s="20" t="str">
        <v>retailstripmall</v>
      </c>
      <c r="P152" s="20" t="str">
        <v>Space_Cooling</v>
      </c>
      <c r="Q152" s="119">
        <f t="shared" ref="Q152:R152" ca="1" si="385">(1-$C$4)*W152</f>
        <v>0</v>
      </c>
      <c r="R152" s="119">
        <f t="shared" ca="1" si="385"/>
        <v>0</v>
      </c>
      <c r="S152" s="20">
        <f t="shared" si="4"/>
        <v>0</v>
      </c>
      <c r="T152" s="128">
        <f t="shared" ref="T152:U152" ca="1" si="386">$S152*Q152</f>
        <v>0</v>
      </c>
      <c r="U152" s="128">
        <f t="shared" ca="1" si="386"/>
        <v>0</v>
      </c>
      <c r="W152" s="55">
        <f ca="1"/>
        <v>0</v>
      </c>
      <c r="X152" s="55">
        <f ca="1"/>
        <v>0</v>
      </c>
      <c r="Y152" s="21">
        <f>'nres bld calcs'!G144-S152</f>
        <v>0</v>
      </c>
      <c r="Z152" s="128">
        <f t="shared" ref="Z152:AA152" ca="1" si="387">$Y152*W152</f>
        <v>0</v>
      </c>
      <c r="AA152" s="128">
        <f t="shared" ca="1" si="387"/>
        <v>0</v>
      </c>
    </row>
    <row r="153" spans="14:27" ht="13.2">
      <c r="N153" s="20" t="str">
        <v>Miami</v>
      </c>
      <c r="O153" s="20" t="str">
        <v>retailstripmall</v>
      </c>
      <c r="P153" s="20" t="str">
        <v>Space_Heating</v>
      </c>
      <c r="Q153" s="119">
        <f ca="1">IF($C$5="Yes",((1-$C$3)*X153/$G$3)+W153,(1-$C$3)*W153)</f>
        <v>0</v>
      </c>
      <c r="R153" s="119">
        <f ca="1">IF($C$5="Yes",0,(1-$C$3)*X153)</f>
        <v>0</v>
      </c>
      <c r="S153" s="20">
        <f t="shared" si="4"/>
        <v>0</v>
      </c>
      <c r="T153" s="128">
        <f t="shared" ref="T153:U153" ca="1" si="388">$S153*Q153</f>
        <v>0</v>
      </c>
      <c r="U153" s="128">
        <f t="shared" ca="1" si="388"/>
        <v>0</v>
      </c>
      <c r="W153" s="55">
        <f ca="1"/>
        <v>0</v>
      </c>
      <c r="X153" s="55">
        <f ca="1"/>
        <v>0</v>
      </c>
      <c r="Y153" s="21">
        <f>'nres bld calcs'!G145-S153</f>
        <v>0</v>
      </c>
      <c r="Z153" s="128">
        <f t="shared" ref="Z153:AA153" ca="1" si="389">$Y153*W153</f>
        <v>0</v>
      </c>
      <c r="AA153" s="128">
        <f t="shared" ca="1" si="389"/>
        <v>0</v>
      </c>
    </row>
    <row r="154" spans="14:27" ht="13.2">
      <c r="N154" s="20" t="str">
        <v>Miami</v>
      </c>
      <c r="O154" s="20" t="str">
        <v>retailstripmall</v>
      </c>
      <c r="P154" s="20" t="str">
        <v>Water_Heating</v>
      </c>
      <c r="Q154" s="119">
        <f ca="1">IF($C$6="Yes",((1-$C$4)*X154/$G$3)+W154,(1-$C$4)*W154)</f>
        <v>0</v>
      </c>
      <c r="R154" s="119">
        <f ca="1">IF($C$6="Yes",0,(1-$C$4)*X154)</f>
        <v>0</v>
      </c>
      <c r="S154" s="20">
        <f t="shared" si="4"/>
        <v>0</v>
      </c>
      <c r="T154" s="128">
        <f t="shared" ref="T154:U154" ca="1" si="390">$S154*Q154</f>
        <v>0</v>
      </c>
      <c r="U154" s="128">
        <f t="shared" ca="1" si="390"/>
        <v>0</v>
      </c>
      <c r="W154" s="55">
        <f ca="1"/>
        <v>0</v>
      </c>
      <c r="X154" s="55">
        <f ca="1"/>
        <v>0</v>
      </c>
      <c r="Y154" s="21">
        <f>'nres bld calcs'!G146-S154</f>
        <v>0</v>
      </c>
      <c r="Z154" s="128">
        <f t="shared" ref="Z154:AA154" ca="1" si="391">$Y154*W154</f>
        <v>0</v>
      </c>
      <c r="AA154" s="128">
        <f t="shared" ca="1" si="391"/>
        <v>0</v>
      </c>
    </row>
    <row r="155" spans="14:27" ht="13.2">
      <c r="N155" s="20" t="str">
        <v>Miami</v>
      </c>
      <c r="O155" s="20" t="str">
        <v>secondaryschool</v>
      </c>
      <c r="P155" s="20" t="str">
        <v>Aux_Equip</v>
      </c>
      <c r="Q155" s="119">
        <f t="shared" ref="Q155:R155" ca="1" si="392">(1-$C$4)*W155</f>
        <v>0</v>
      </c>
      <c r="R155" s="119">
        <f t="shared" ca="1" si="392"/>
        <v>0</v>
      </c>
      <c r="S155" s="20">
        <f t="shared" si="4"/>
        <v>0</v>
      </c>
      <c r="T155" s="128">
        <f t="shared" ref="T155:U155" ca="1" si="393">$S155*Q155</f>
        <v>0</v>
      </c>
      <c r="U155" s="128">
        <f t="shared" ca="1" si="393"/>
        <v>0</v>
      </c>
      <c r="W155" s="55">
        <f ca="1"/>
        <v>0</v>
      </c>
      <c r="X155" s="55">
        <f ca="1"/>
        <v>0</v>
      </c>
      <c r="Y155" s="21">
        <f>'nres bld calcs'!G147-S155</f>
        <v>0</v>
      </c>
      <c r="Z155" s="128">
        <f t="shared" ref="Z155:AA155" ca="1" si="394">$Y155*W155</f>
        <v>0</v>
      </c>
      <c r="AA155" s="128">
        <f t="shared" ca="1" si="394"/>
        <v>0</v>
      </c>
    </row>
    <row r="156" spans="14:27" ht="13.2">
      <c r="N156" s="20" t="str">
        <v>Miami</v>
      </c>
      <c r="O156" s="20" t="str">
        <v>secondaryschool</v>
      </c>
      <c r="P156" s="20" t="str">
        <v>Aux_Motors</v>
      </c>
      <c r="Q156" s="119">
        <f t="shared" ref="Q156:R156" ca="1" si="395">(1-$C$4)*W156</f>
        <v>0</v>
      </c>
      <c r="R156" s="119">
        <f t="shared" ca="1" si="395"/>
        <v>0</v>
      </c>
      <c r="S156" s="20">
        <f t="shared" si="4"/>
        <v>0</v>
      </c>
      <c r="T156" s="128">
        <f t="shared" ref="T156:U156" ca="1" si="396">$S156*Q156</f>
        <v>0</v>
      </c>
      <c r="U156" s="128">
        <f t="shared" ca="1" si="396"/>
        <v>0</v>
      </c>
      <c r="W156" s="55">
        <f ca="1"/>
        <v>0</v>
      </c>
      <c r="X156" s="55">
        <f ca="1"/>
        <v>0</v>
      </c>
      <c r="Y156" s="21">
        <f>'nres bld calcs'!G148-S156</f>
        <v>0</v>
      </c>
      <c r="Z156" s="128">
        <f t="shared" ref="Z156:AA156" ca="1" si="397">$Y156*W156</f>
        <v>0</v>
      </c>
      <c r="AA156" s="128">
        <f t="shared" ca="1" si="397"/>
        <v>0</v>
      </c>
    </row>
    <row r="157" spans="14:27" ht="13.2">
      <c r="N157" s="20" t="str">
        <v>Miami</v>
      </c>
      <c r="O157" s="20" t="str">
        <v>secondaryschool</v>
      </c>
      <c r="P157" s="20" t="str">
        <v>Lighting</v>
      </c>
      <c r="Q157" s="119">
        <f t="shared" ref="Q157:R157" ca="1" si="398">(1-$C$4)*W157</f>
        <v>0</v>
      </c>
      <c r="R157" s="119">
        <f t="shared" ca="1" si="398"/>
        <v>0</v>
      </c>
      <c r="S157" s="20">
        <f t="shared" si="4"/>
        <v>0</v>
      </c>
      <c r="T157" s="128">
        <f t="shared" ref="T157:U157" ca="1" si="399">$S157*Q157</f>
        <v>0</v>
      </c>
      <c r="U157" s="128">
        <f t="shared" ca="1" si="399"/>
        <v>0</v>
      </c>
      <c r="W157" s="55">
        <f ca="1"/>
        <v>0</v>
      </c>
      <c r="X157" s="55">
        <f ca="1"/>
        <v>0</v>
      </c>
      <c r="Y157" s="21">
        <f>'nres bld calcs'!G149-S157</f>
        <v>0</v>
      </c>
      <c r="Z157" s="128">
        <f t="shared" ref="Z157:AA157" ca="1" si="400">$Y157*W157</f>
        <v>0</v>
      </c>
      <c r="AA157" s="128">
        <f t="shared" ca="1" si="400"/>
        <v>0</v>
      </c>
    </row>
    <row r="158" spans="14:27" ht="13.2">
      <c r="N158" s="20" t="str">
        <v>Miami</v>
      </c>
      <c r="O158" s="20" t="str">
        <v>secondaryschool</v>
      </c>
      <c r="P158" s="20" t="str">
        <v>Space_Cooling</v>
      </c>
      <c r="Q158" s="119">
        <f t="shared" ref="Q158:R158" ca="1" si="401">(1-$C$4)*W158</f>
        <v>0</v>
      </c>
      <c r="R158" s="119">
        <f t="shared" ca="1" si="401"/>
        <v>0</v>
      </c>
      <c r="S158" s="20">
        <f t="shared" si="4"/>
        <v>0</v>
      </c>
      <c r="T158" s="128">
        <f t="shared" ref="T158:U158" ca="1" si="402">$S158*Q158</f>
        <v>0</v>
      </c>
      <c r="U158" s="128">
        <f t="shared" ca="1" si="402"/>
        <v>0</v>
      </c>
      <c r="W158" s="55">
        <f ca="1"/>
        <v>0</v>
      </c>
      <c r="X158" s="55">
        <f ca="1"/>
        <v>0</v>
      </c>
      <c r="Y158" s="21">
        <f>'nres bld calcs'!G150-S158</f>
        <v>0</v>
      </c>
      <c r="Z158" s="128">
        <f t="shared" ref="Z158:AA158" ca="1" si="403">$Y158*W158</f>
        <v>0</v>
      </c>
      <c r="AA158" s="128">
        <f t="shared" ca="1" si="403"/>
        <v>0</v>
      </c>
    </row>
    <row r="159" spans="14:27" ht="13.2">
      <c r="N159" s="20" t="str">
        <v>Miami</v>
      </c>
      <c r="O159" s="20" t="str">
        <v>secondaryschool</v>
      </c>
      <c r="P159" s="20" t="str">
        <v>Space_Heating</v>
      </c>
      <c r="Q159" s="119">
        <f ca="1">IF($C$5="Yes",((1-$C$3)*X159/$G$3)+W159,(1-$C$3)*W159)</f>
        <v>0</v>
      </c>
      <c r="R159" s="119">
        <f ca="1">IF($C$5="Yes",0,(1-$C$3)*X159)</f>
        <v>0</v>
      </c>
      <c r="S159" s="20">
        <f t="shared" si="4"/>
        <v>0</v>
      </c>
      <c r="T159" s="128">
        <f t="shared" ref="T159:U159" ca="1" si="404">$S159*Q159</f>
        <v>0</v>
      </c>
      <c r="U159" s="128">
        <f t="shared" ca="1" si="404"/>
        <v>0</v>
      </c>
      <c r="W159" s="55">
        <f ca="1"/>
        <v>0</v>
      </c>
      <c r="X159" s="55">
        <f ca="1"/>
        <v>0</v>
      </c>
      <c r="Y159" s="21">
        <f>'nres bld calcs'!G151-S159</f>
        <v>0</v>
      </c>
      <c r="Z159" s="128">
        <f t="shared" ref="Z159:AA159" ca="1" si="405">$Y159*W159</f>
        <v>0</v>
      </c>
      <c r="AA159" s="128">
        <f t="shared" ca="1" si="405"/>
        <v>0</v>
      </c>
    </row>
    <row r="160" spans="14:27" ht="13.2">
      <c r="N160" s="20" t="str">
        <v>Miami</v>
      </c>
      <c r="O160" s="20" t="str">
        <v>secondaryschool</v>
      </c>
      <c r="P160" s="20" t="str">
        <v>Water_Heating</v>
      </c>
      <c r="Q160" s="119">
        <f ca="1">IF($C$6="Yes",((1-$C$4)*X160/$G$3)+W160,(1-$C$4)*W160)</f>
        <v>0</v>
      </c>
      <c r="R160" s="119">
        <f ca="1">IF($C$6="Yes",0,(1-$C$4)*X160)</f>
        <v>0</v>
      </c>
      <c r="S160" s="20">
        <f t="shared" si="4"/>
        <v>0</v>
      </c>
      <c r="T160" s="128">
        <f t="shared" ref="T160:U160" ca="1" si="406">$S160*Q160</f>
        <v>0</v>
      </c>
      <c r="U160" s="128">
        <f t="shared" ca="1" si="406"/>
        <v>0</v>
      </c>
      <c r="W160" s="55">
        <f ca="1"/>
        <v>0</v>
      </c>
      <c r="X160" s="55">
        <f ca="1"/>
        <v>0</v>
      </c>
      <c r="Y160" s="21">
        <f>'nres bld calcs'!G152-S160</f>
        <v>0</v>
      </c>
      <c r="Z160" s="128">
        <f t="shared" ref="Z160:AA160" ca="1" si="407">$Y160*W160</f>
        <v>0</v>
      </c>
      <c r="AA160" s="128">
        <f t="shared" ca="1" si="407"/>
        <v>0</v>
      </c>
    </row>
    <row r="161" spans="14:27" ht="13.2">
      <c r="N161" s="20" t="str">
        <v>Miami</v>
      </c>
      <c r="O161" s="20" t="str">
        <v>smallhotel</v>
      </c>
      <c r="P161" s="20" t="str">
        <v>Aux_Equip</v>
      </c>
      <c r="Q161" s="119">
        <f t="shared" ref="Q161:R161" ca="1" si="408">(1-$C$4)*W161</f>
        <v>5.7258103098544932E-3</v>
      </c>
      <c r="R161" s="119">
        <f t="shared" ca="1" si="408"/>
        <v>1.0675214297944595E-2</v>
      </c>
      <c r="S161" s="20">
        <f t="shared" si="4"/>
        <v>0</v>
      </c>
      <c r="T161" s="128">
        <f t="shared" ref="T161:U161" ca="1" si="409">$S161*Q161</f>
        <v>0</v>
      </c>
      <c r="U161" s="128">
        <f t="shared" ca="1" si="409"/>
        <v>0</v>
      </c>
      <c r="W161" s="55">
        <f ca="1"/>
        <v>5.7258103098544932E-3</v>
      </c>
      <c r="X161" s="55">
        <f ca="1"/>
        <v>1.0675214297944595E-2</v>
      </c>
      <c r="Y161" s="21">
        <f ca="1">'nres bld calcs'!G153-S161</f>
        <v>1570872</v>
      </c>
      <c r="Z161" s="128">
        <f t="shared" ref="Z161:AA161" ca="1" si="410">$Y161*W161</f>
        <v>8994.5150930617474</v>
      </c>
      <c r="AA161" s="128">
        <f t="shared" ca="1" si="410"/>
        <v>16769.395234640822</v>
      </c>
    </row>
    <row r="162" spans="14:27" ht="13.2">
      <c r="N162" s="20" t="str">
        <v>Miami</v>
      </c>
      <c r="O162" s="20" t="str">
        <v>smallhotel</v>
      </c>
      <c r="P162" s="20" t="str">
        <v>Aux_Motors</v>
      </c>
      <c r="Q162" s="119">
        <f t="shared" ref="Q162:R162" ca="1" si="411">(1-$C$4)*W162</f>
        <v>1.1383987544516229E-2</v>
      </c>
      <c r="R162" s="119">
        <f t="shared" ca="1" si="411"/>
        <v>0</v>
      </c>
      <c r="S162" s="20">
        <f t="shared" si="4"/>
        <v>0</v>
      </c>
      <c r="T162" s="128">
        <f t="shared" ref="T162:U162" ca="1" si="412">$S162*Q162</f>
        <v>0</v>
      </c>
      <c r="U162" s="128">
        <f t="shared" ca="1" si="412"/>
        <v>0</v>
      </c>
      <c r="W162" s="55">
        <f ca="1"/>
        <v>1.1383987544516229E-2</v>
      </c>
      <c r="X162" s="55">
        <f ca="1"/>
        <v>0</v>
      </c>
      <c r="Y162" s="21">
        <f ca="1">'nres bld calcs'!G154-S162</f>
        <v>1570872</v>
      </c>
      <c r="Z162" s="128">
        <f t="shared" ref="Z162:AA162" ca="1" si="413">$Y162*W162</f>
        <v>17882.787282029298</v>
      </c>
      <c r="AA162" s="128">
        <f t="shared" ca="1" si="413"/>
        <v>0</v>
      </c>
    </row>
    <row r="163" spans="14:27" ht="13.2">
      <c r="N163" s="20" t="str">
        <v>Miami</v>
      </c>
      <c r="O163" s="20" t="str">
        <v>smallhotel</v>
      </c>
      <c r="P163" s="20" t="str">
        <v>Lighting</v>
      </c>
      <c r="Q163" s="119">
        <f t="shared" ref="Q163:R163" ca="1" si="414">(1-$C$4)*W163</f>
        <v>5.0374134689641532E-3</v>
      </c>
      <c r="R163" s="119">
        <f t="shared" ca="1" si="414"/>
        <v>0</v>
      </c>
      <c r="S163" s="20">
        <f t="shared" si="4"/>
        <v>0</v>
      </c>
      <c r="T163" s="128">
        <f t="shared" ref="T163:U163" ca="1" si="415">$S163*Q163</f>
        <v>0</v>
      </c>
      <c r="U163" s="128">
        <f t="shared" ca="1" si="415"/>
        <v>0</v>
      </c>
      <c r="W163" s="55">
        <f ca="1"/>
        <v>5.0374134689641532E-3</v>
      </c>
      <c r="X163" s="55">
        <f ca="1"/>
        <v>0</v>
      </c>
      <c r="Y163" s="21">
        <f ca="1">'nres bld calcs'!G155-S163</f>
        <v>1570872</v>
      </c>
      <c r="Z163" s="128">
        <f t="shared" ref="Z163:AA163" ca="1" si="416">$Y163*W163</f>
        <v>7913.1317708186571</v>
      </c>
      <c r="AA163" s="128">
        <f t="shared" ca="1" si="416"/>
        <v>0</v>
      </c>
    </row>
    <row r="164" spans="14:27" ht="13.2">
      <c r="N164" s="20" t="str">
        <v>Miami</v>
      </c>
      <c r="O164" s="20" t="str">
        <v>smallhotel</v>
      </c>
      <c r="P164" s="20" t="str">
        <v>Space_Cooling</v>
      </c>
      <c r="Q164" s="119">
        <f t="shared" ref="Q164:R164" ca="1" si="417">(1-$C$4)*W164</f>
        <v>3.839545197691125E-3</v>
      </c>
      <c r="R164" s="119">
        <f t="shared" ca="1" si="417"/>
        <v>0</v>
      </c>
      <c r="S164" s="20">
        <f t="shared" si="4"/>
        <v>0</v>
      </c>
      <c r="T164" s="128">
        <f t="shared" ref="T164:U164" ca="1" si="418">$S164*Q164</f>
        <v>0</v>
      </c>
      <c r="U164" s="128">
        <f t="shared" ca="1" si="418"/>
        <v>0</v>
      </c>
      <c r="W164" s="55">
        <f ca="1"/>
        <v>3.839545197691125E-3</v>
      </c>
      <c r="X164" s="55">
        <f ca="1"/>
        <v>0</v>
      </c>
      <c r="Y164" s="21">
        <f ca="1">'nres bld calcs'!G156-S164</f>
        <v>1570872</v>
      </c>
      <c r="Z164" s="128">
        <f t="shared" ref="Z164:AA164" ca="1" si="419">$Y164*W164</f>
        <v>6031.4340437874525</v>
      </c>
      <c r="AA164" s="128">
        <f t="shared" ca="1" si="419"/>
        <v>0</v>
      </c>
    </row>
    <row r="165" spans="14:27" ht="13.2">
      <c r="N165" s="20" t="str">
        <v>Miami</v>
      </c>
      <c r="O165" s="20" t="str">
        <v>smallhotel</v>
      </c>
      <c r="P165" s="20" t="str">
        <v>Space_Heating</v>
      </c>
      <c r="Q165" s="119">
        <f ca="1">IF($C$5="Yes",((1-$C$3)*X165/$G$3)+W165,(1-$C$3)*W165)</f>
        <v>4.0766277911352131E-3</v>
      </c>
      <c r="R165" s="119">
        <f ca="1">IF($C$5="Yes",0,(1-$C$3)*X165)</f>
        <v>4.3819803245054188E-3</v>
      </c>
      <c r="S165" s="20">
        <f t="shared" si="4"/>
        <v>0</v>
      </c>
      <c r="T165" s="128">
        <f t="shared" ref="T165:U165" ca="1" si="420">$S165*Q165</f>
        <v>0</v>
      </c>
      <c r="U165" s="128">
        <f t="shared" ca="1" si="420"/>
        <v>0</v>
      </c>
      <c r="W165" s="55">
        <f ca="1"/>
        <v>8.1532555822704262E-3</v>
      </c>
      <c r="X165" s="55">
        <f ca="1"/>
        <v>8.7639606490108376E-3</v>
      </c>
      <c r="Y165" s="21">
        <f ca="1">'nres bld calcs'!G157-S165</f>
        <v>1570872</v>
      </c>
      <c r="Z165" s="128">
        <f t="shared" ref="Z165:AA165" ca="1" si="421">$Y165*W165</f>
        <v>12807.720903032308</v>
      </c>
      <c r="AA165" s="128">
        <f t="shared" ca="1" si="421"/>
        <v>13767.060392632953</v>
      </c>
    </row>
    <row r="166" spans="14:27" ht="13.2">
      <c r="N166" s="20" t="str">
        <v>Miami</v>
      </c>
      <c r="O166" s="20" t="str">
        <v>smallhotel</v>
      </c>
      <c r="P166" s="20" t="str">
        <v>Water_Heating</v>
      </c>
      <c r="Q166" s="119">
        <f ca="1">IF($C$6="Yes",((1-$C$4)*X166/$G$3)+W166,(1-$C$4)*W166)</f>
        <v>0</v>
      </c>
      <c r="R166" s="119">
        <f ca="1">IF($C$6="Yes",0,(1-$C$4)*X166)</f>
        <v>2.1389007961872476E-2</v>
      </c>
      <c r="S166" s="20">
        <f t="shared" si="4"/>
        <v>0</v>
      </c>
      <c r="T166" s="128">
        <f t="shared" ref="T166:U166" ca="1" si="422">$S166*Q166</f>
        <v>0</v>
      </c>
      <c r="U166" s="128">
        <f t="shared" ca="1" si="422"/>
        <v>0</v>
      </c>
      <c r="W166" s="55">
        <f ca="1"/>
        <v>0</v>
      </c>
      <c r="X166" s="55">
        <f ca="1"/>
        <v>2.1389007961872476E-2</v>
      </c>
      <c r="Y166" s="21">
        <f ca="1">'nres bld calcs'!G158-S166</f>
        <v>1570872</v>
      </c>
      <c r="Z166" s="128">
        <f t="shared" ref="Z166:AA166" ca="1" si="423">$Y166*W166</f>
        <v>0</v>
      </c>
      <c r="AA166" s="128">
        <f t="shared" ca="1" si="423"/>
        <v>33599.393715082537</v>
      </c>
    </row>
    <row r="167" spans="14:27" ht="13.2">
      <c r="N167" s="20" t="str">
        <v>Miami</v>
      </c>
      <c r="O167" s="20" t="str">
        <v>smalloffice</v>
      </c>
      <c r="P167" s="20" t="str">
        <v>Aux_Equip</v>
      </c>
      <c r="Q167" s="119">
        <f t="shared" ref="Q167:R167" ca="1" si="424">(1-$C$4)*W167</f>
        <v>0</v>
      </c>
      <c r="R167" s="119">
        <f t="shared" ca="1" si="424"/>
        <v>0</v>
      </c>
      <c r="S167" s="20">
        <f t="shared" si="4"/>
        <v>0</v>
      </c>
      <c r="T167" s="128">
        <f t="shared" ref="T167:U167" ca="1" si="425">$S167*Q167</f>
        <v>0</v>
      </c>
      <c r="U167" s="128">
        <f t="shared" ca="1" si="425"/>
        <v>0</v>
      </c>
      <c r="W167" s="55">
        <f ca="1"/>
        <v>0</v>
      </c>
      <c r="X167" s="55">
        <f ca="1"/>
        <v>0</v>
      </c>
      <c r="Y167" s="21">
        <f>'nres bld calcs'!G159-S167</f>
        <v>0</v>
      </c>
      <c r="Z167" s="128">
        <f t="shared" ref="Z167:AA167" ca="1" si="426">$Y167*W167</f>
        <v>0</v>
      </c>
      <c r="AA167" s="128">
        <f t="shared" ca="1" si="426"/>
        <v>0</v>
      </c>
    </row>
    <row r="168" spans="14:27" ht="13.2">
      <c r="N168" s="20" t="str">
        <v>Miami</v>
      </c>
      <c r="O168" s="20" t="str">
        <v>smalloffice</v>
      </c>
      <c r="P168" s="20" t="str">
        <v>Aux_Motors</v>
      </c>
      <c r="Q168" s="119">
        <f t="shared" ref="Q168:R168" ca="1" si="427">(1-$C$4)*W168</f>
        <v>0</v>
      </c>
      <c r="R168" s="119">
        <f t="shared" ca="1" si="427"/>
        <v>0</v>
      </c>
      <c r="S168" s="20">
        <f t="shared" si="4"/>
        <v>0</v>
      </c>
      <c r="T168" s="128">
        <f t="shared" ref="T168:U168" ca="1" si="428">$S168*Q168</f>
        <v>0</v>
      </c>
      <c r="U168" s="128">
        <f t="shared" ca="1" si="428"/>
        <v>0</v>
      </c>
      <c r="W168" s="55">
        <f ca="1"/>
        <v>0</v>
      </c>
      <c r="X168" s="55">
        <f ca="1"/>
        <v>0</v>
      </c>
      <c r="Y168" s="21">
        <f>'nres bld calcs'!G160-S168</f>
        <v>0</v>
      </c>
      <c r="Z168" s="128">
        <f t="shared" ref="Z168:AA168" ca="1" si="429">$Y168*W168</f>
        <v>0</v>
      </c>
      <c r="AA168" s="128">
        <f t="shared" ca="1" si="429"/>
        <v>0</v>
      </c>
    </row>
    <row r="169" spans="14:27" ht="13.2">
      <c r="N169" s="20" t="str">
        <v>Miami</v>
      </c>
      <c r="O169" s="20" t="str">
        <v>smalloffice</v>
      </c>
      <c r="P169" s="20" t="str">
        <v>Lighting</v>
      </c>
      <c r="Q169" s="119">
        <f t="shared" ref="Q169:R169" ca="1" si="430">(1-$C$4)*W169</f>
        <v>0</v>
      </c>
      <c r="R169" s="119">
        <f t="shared" ca="1" si="430"/>
        <v>0</v>
      </c>
      <c r="S169" s="20">
        <f t="shared" si="4"/>
        <v>0</v>
      </c>
      <c r="T169" s="128">
        <f t="shared" ref="T169:U169" ca="1" si="431">$S169*Q169</f>
        <v>0</v>
      </c>
      <c r="U169" s="128">
        <f t="shared" ca="1" si="431"/>
        <v>0</v>
      </c>
      <c r="W169" s="55">
        <f ca="1"/>
        <v>0</v>
      </c>
      <c r="X169" s="55">
        <f ca="1"/>
        <v>0</v>
      </c>
      <c r="Y169" s="21">
        <f>'nres bld calcs'!G161-S169</f>
        <v>0</v>
      </c>
      <c r="Z169" s="128">
        <f t="shared" ref="Z169:AA169" ca="1" si="432">$Y169*W169</f>
        <v>0</v>
      </c>
      <c r="AA169" s="128">
        <f t="shared" ca="1" si="432"/>
        <v>0</v>
      </c>
    </row>
    <row r="170" spans="14:27" ht="13.2">
      <c r="N170" s="20" t="str">
        <v>Miami</v>
      </c>
      <c r="O170" s="20" t="str">
        <v>smalloffice</v>
      </c>
      <c r="P170" s="20" t="str">
        <v>Space_Cooling</v>
      </c>
      <c r="Q170" s="119">
        <f t="shared" ref="Q170:R170" ca="1" si="433">(1-$C$4)*W170</f>
        <v>0</v>
      </c>
      <c r="R170" s="119">
        <f t="shared" ca="1" si="433"/>
        <v>0</v>
      </c>
      <c r="S170" s="20">
        <f t="shared" si="4"/>
        <v>0</v>
      </c>
      <c r="T170" s="128">
        <f t="shared" ref="T170:U170" ca="1" si="434">$S170*Q170</f>
        <v>0</v>
      </c>
      <c r="U170" s="128">
        <f t="shared" ca="1" si="434"/>
        <v>0</v>
      </c>
      <c r="W170" s="55">
        <f ca="1"/>
        <v>0</v>
      </c>
      <c r="X170" s="55">
        <f ca="1"/>
        <v>0</v>
      </c>
      <c r="Y170" s="21">
        <f>'nres bld calcs'!G162-S170</f>
        <v>0</v>
      </c>
      <c r="Z170" s="128">
        <f t="shared" ref="Z170:AA170" ca="1" si="435">$Y170*W170</f>
        <v>0</v>
      </c>
      <c r="AA170" s="128">
        <f t="shared" ca="1" si="435"/>
        <v>0</v>
      </c>
    </row>
    <row r="171" spans="14:27" ht="13.2">
      <c r="N171" s="20" t="str">
        <v>Miami</v>
      </c>
      <c r="O171" s="20" t="str">
        <v>smalloffice</v>
      </c>
      <c r="P171" s="20" t="str">
        <v>Space_Heating</v>
      </c>
      <c r="Q171" s="119">
        <f ca="1">IF($C$5="Yes",((1-$C$3)*X171/$G$3)+W171,(1-$C$3)*W171)</f>
        <v>0</v>
      </c>
      <c r="R171" s="119">
        <f ca="1">IF($C$5="Yes",0,(1-$C$3)*X171)</f>
        <v>0</v>
      </c>
      <c r="S171" s="20">
        <f t="shared" si="4"/>
        <v>0</v>
      </c>
      <c r="T171" s="128">
        <f t="shared" ref="T171:U171" ca="1" si="436">$S171*Q171</f>
        <v>0</v>
      </c>
      <c r="U171" s="128">
        <f t="shared" ca="1" si="436"/>
        <v>0</v>
      </c>
      <c r="W171" s="55">
        <f ca="1"/>
        <v>0</v>
      </c>
      <c r="X171" s="55">
        <f ca="1"/>
        <v>0</v>
      </c>
      <c r="Y171" s="21">
        <f>'nres bld calcs'!G163-S171</f>
        <v>0</v>
      </c>
      <c r="Z171" s="128">
        <f t="shared" ref="Z171:AA171" ca="1" si="437">$Y171*W171</f>
        <v>0</v>
      </c>
      <c r="AA171" s="128">
        <f t="shared" ca="1" si="437"/>
        <v>0</v>
      </c>
    </row>
    <row r="172" spans="14:27" ht="13.2">
      <c r="N172" s="20" t="str">
        <v>Miami</v>
      </c>
      <c r="O172" s="20" t="str">
        <v>smalloffice</v>
      </c>
      <c r="P172" s="20" t="str">
        <v>Water_Heating</v>
      </c>
      <c r="Q172" s="119">
        <f ca="1">IF($C$6="Yes",((1-$C$4)*X172/$G$3)+W172,(1-$C$4)*W172)</f>
        <v>0</v>
      </c>
      <c r="R172" s="119">
        <f ca="1">IF($C$6="Yes",0,(1-$C$4)*X172)</f>
        <v>0</v>
      </c>
      <c r="S172" s="20">
        <f t="shared" si="4"/>
        <v>0</v>
      </c>
      <c r="T172" s="128">
        <f t="shared" ref="T172:U172" ca="1" si="438">$S172*Q172</f>
        <v>0</v>
      </c>
      <c r="U172" s="128">
        <f t="shared" ca="1" si="438"/>
        <v>0</v>
      </c>
      <c r="W172" s="55">
        <f ca="1"/>
        <v>0</v>
      </c>
      <c r="X172" s="55">
        <f ca="1"/>
        <v>0</v>
      </c>
      <c r="Y172" s="21">
        <f>'nres bld calcs'!G164-S172</f>
        <v>0</v>
      </c>
      <c r="Z172" s="128">
        <f t="shared" ref="Z172:AA172" ca="1" si="439">$Y172*W172</f>
        <v>0</v>
      </c>
      <c r="AA172" s="128">
        <f t="shared" ca="1" si="439"/>
        <v>0</v>
      </c>
    </row>
    <row r="173" spans="14:27" ht="13.2">
      <c r="N173" s="20" t="str">
        <v>Miami</v>
      </c>
      <c r="O173" s="20" t="str">
        <v>warehouse</v>
      </c>
      <c r="P173" s="20" t="str">
        <v>Aux_Equip</v>
      </c>
      <c r="Q173" s="119">
        <f t="shared" ref="Q173:R173" ca="1" si="440">(1-$C$4)*W173</f>
        <v>1.8748219007553257E-2</v>
      </c>
      <c r="R173" s="119">
        <f t="shared" ca="1" si="440"/>
        <v>0</v>
      </c>
      <c r="S173" s="20">
        <f t="shared" si="4"/>
        <v>0</v>
      </c>
      <c r="T173" s="128">
        <f t="shared" ref="T173:U173" ca="1" si="441">$S173*Q173</f>
        <v>0</v>
      </c>
      <c r="U173" s="128">
        <f t="shared" ca="1" si="441"/>
        <v>0</v>
      </c>
      <c r="W173" s="55">
        <f ca="1"/>
        <v>1.8748219007553257E-2</v>
      </c>
      <c r="X173" s="55">
        <f ca="1"/>
        <v>0</v>
      </c>
      <c r="Y173" s="21">
        <f ca="1">'nres bld calcs'!G165-S173</f>
        <v>6002096</v>
      </c>
      <c r="Z173" s="128">
        <f t="shared" ref="Z173:AA173" ca="1" si="442">$Y173*W173</f>
        <v>112528.61031235938</v>
      </c>
      <c r="AA173" s="128">
        <f t="shared" ca="1" si="442"/>
        <v>0</v>
      </c>
    </row>
    <row r="174" spans="14:27" ht="13.2">
      <c r="N174" s="20" t="str">
        <v>Miami</v>
      </c>
      <c r="O174" s="20" t="str">
        <v>warehouse</v>
      </c>
      <c r="P174" s="20" t="str">
        <v>Aux_Motors</v>
      </c>
      <c r="Q174" s="119">
        <f t="shared" ref="Q174:R174" ca="1" si="443">(1-$C$4)*W174</f>
        <v>9.07887119652019E-4</v>
      </c>
      <c r="R174" s="119">
        <f t="shared" ca="1" si="443"/>
        <v>0</v>
      </c>
      <c r="S174" s="20">
        <f t="shared" si="4"/>
        <v>0</v>
      </c>
      <c r="T174" s="128">
        <f t="shared" ref="T174:U174" ca="1" si="444">$S174*Q174</f>
        <v>0</v>
      </c>
      <c r="U174" s="128">
        <f t="shared" ca="1" si="444"/>
        <v>0</v>
      </c>
      <c r="W174" s="55">
        <f ca="1"/>
        <v>9.07887119652019E-4</v>
      </c>
      <c r="X174" s="55">
        <f ca="1"/>
        <v>0</v>
      </c>
      <c r="Y174" s="21">
        <f ca="1">'nres bld calcs'!G166-S174</f>
        <v>6002096</v>
      </c>
      <c r="Z174" s="128">
        <f t="shared" ref="Z174:AA174" ca="1" si="445">$Y174*W174</f>
        <v>5449.2256493149043</v>
      </c>
      <c r="AA174" s="128">
        <f t="shared" ca="1" si="445"/>
        <v>0</v>
      </c>
    </row>
    <row r="175" spans="14:27" ht="13.2">
      <c r="N175" s="20" t="str">
        <v>Miami</v>
      </c>
      <c r="O175" s="20" t="str">
        <v>warehouse</v>
      </c>
      <c r="P175" s="20" t="str">
        <v>Lighting</v>
      </c>
      <c r="Q175" s="119">
        <f t="shared" ref="Q175:R175" ca="1" si="446">(1-$C$4)*W175</f>
        <v>1.2842292446093806E-2</v>
      </c>
      <c r="R175" s="119">
        <f t="shared" ca="1" si="446"/>
        <v>0</v>
      </c>
      <c r="S175" s="20">
        <f t="shared" si="4"/>
        <v>0</v>
      </c>
      <c r="T175" s="128">
        <f t="shared" ref="T175:U175" ca="1" si="447">$S175*Q175</f>
        <v>0</v>
      </c>
      <c r="U175" s="128">
        <f t="shared" ca="1" si="447"/>
        <v>0</v>
      </c>
      <c r="W175" s="55">
        <f ca="1"/>
        <v>1.2842292446093806E-2</v>
      </c>
      <c r="X175" s="55">
        <f ca="1"/>
        <v>0</v>
      </c>
      <c r="Y175" s="21">
        <f ca="1">'nres bld calcs'!G167-S175</f>
        <v>6002096</v>
      </c>
      <c r="Z175" s="128">
        <f t="shared" ref="Z175:AA175" ca="1" si="448">$Y175*W175</f>
        <v>77080.672121529846</v>
      </c>
      <c r="AA175" s="128">
        <f t="shared" ca="1" si="448"/>
        <v>0</v>
      </c>
    </row>
    <row r="176" spans="14:27" ht="13.2">
      <c r="N176" s="20" t="str">
        <v>Miami</v>
      </c>
      <c r="O176" s="20" t="str">
        <v>warehouse</v>
      </c>
      <c r="P176" s="20" t="str">
        <v>Space_Cooling</v>
      </c>
      <c r="Q176" s="119">
        <f t="shared" ref="Q176:R176" ca="1" si="449">(1-$C$4)*W176</f>
        <v>2.2409072794028377E-4</v>
      </c>
      <c r="R176" s="119">
        <f t="shared" ca="1" si="449"/>
        <v>0</v>
      </c>
      <c r="S176" s="20">
        <f t="shared" si="4"/>
        <v>0</v>
      </c>
      <c r="T176" s="128">
        <f t="shared" ref="T176:U176" ca="1" si="450">$S176*Q176</f>
        <v>0</v>
      </c>
      <c r="U176" s="128">
        <f t="shared" ca="1" si="450"/>
        <v>0</v>
      </c>
      <c r="W176" s="55">
        <f ca="1"/>
        <v>2.2409072794028377E-4</v>
      </c>
      <c r="X176" s="55">
        <f ca="1"/>
        <v>0</v>
      </c>
      <c r="Y176" s="21">
        <f ca="1">'nres bld calcs'!G168-S176</f>
        <v>6002096</v>
      </c>
      <c r="Z176" s="128">
        <f t="shared" ref="Z176:AA176" ca="1" si="451">$Y176*W176</f>
        <v>1345.0140618074654</v>
      </c>
      <c r="AA176" s="128">
        <f t="shared" ca="1" si="451"/>
        <v>0</v>
      </c>
    </row>
    <row r="177" spans="14:27" ht="13.2">
      <c r="N177" s="20" t="str">
        <v>Miami</v>
      </c>
      <c r="O177" s="20" t="str">
        <v>warehouse</v>
      </c>
      <c r="P177" s="20" t="str">
        <v>Space_Heating</v>
      </c>
      <c r="Q177" s="119">
        <f ca="1">IF($C$5="Yes",((1-$C$3)*X177/$G$3)+W177,(1-$C$3)*W177)</f>
        <v>7.0876140102852671E-4</v>
      </c>
      <c r="R177" s="119">
        <f ca="1">IF($C$5="Yes",0,(1-$C$3)*X177)</f>
        <v>2.0414091454413953E-2</v>
      </c>
      <c r="S177" s="20">
        <f t="shared" si="4"/>
        <v>0</v>
      </c>
      <c r="T177" s="128">
        <f t="shared" ref="T177:U177" ca="1" si="452">$S177*Q177</f>
        <v>0</v>
      </c>
      <c r="U177" s="128">
        <f t="shared" ca="1" si="452"/>
        <v>0</v>
      </c>
      <c r="W177" s="55">
        <f ca="1"/>
        <v>1.4175228020570534E-3</v>
      </c>
      <c r="X177" s="55">
        <f ca="1"/>
        <v>4.0828182908827906E-2</v>
      </c>
      <c r="Y177" s="21">
        <f ca="1">'nres bld calcs'!G169-S177</f>
        <v>6002096</v>
      </c>
      <c r="Z177" s="128">
        <f t="shared" ref="Z177:AA177" ca="1" si="453">$Y177*W177</f>
        <v>8508.1079401354327</v>
      </c>
      <c r="AA177" s="128">
        <f t="shared" ca="1" si="453"/>
        <v>245054.67332434433</v>
      </c>
    </row>
    <row r="178" spans="14:27" ht="13.2">
      <c r="N178" s="20" t="str">
        <v>Miami</v>
      </c>
      <c r="O178" s="20" t="str">
        <v>warehouse</v>
      </c>
      <c r="P178" s="20" t="str">
        <v>Water_Heating</v>
      </c>
      <c r="Q178" s="119">
        <f ca="1">IF($C$6="Yes",((1-$C$4)*X178/$G$3)+W178,(1-$C$4)*W178)</f>
        <v>0</v>
      </c>
      <c r="R178" s="119">
        <f ca="1">IF($C$6="Yes",0,(1-$C$4)*X178)</f>
        <v>0</v>
      </c>
      <c r="S178" s="20">
        <f t="shared" si="4"/>
        <v>0</v>
      </c>
      <c r="T178" s="128">
        <f t="shared" ref="T178:U178" ca="1" si="454">$S178*Q178</f>
        <v>0</v>
      </c>
      <c r="U178" s="128">
        <f t="shared" ca="1" si="454"/>
        <v>0</v>
      </c>
      <c r="W178" s="55">
        <f ca="1"/>
        <v>0</v>
      </c>
      <c r="X178" s="55">
        <f ca="1"/>
        <v>0</v>
      </c>
      <c r="Y178" s="21">
        <f ca="1">'nres bld calcs'!G170-S178</f>
        <v>6002096</v>
      </c>
      <c r="Z178" s="128">
        <f t="shared" ref="Z178:AA178" ca="1" si="455">$Y178*W178</f>
        <v>0</v>
      </c>
      <c r="AA178" s="128">
        <f t="shared" ca="1" si="455"/>
        <v>0</v>
      </c>
    </row>
    <row r="179" spans="14:27" ht="13.2">
      <c r="N179" s="20" t="str">
        <v>Montgomery</v>
      </c>
      <c r="O179" s="20" t="str">
        <v>fullservicerestaurant</v>
      </c>
      <c r="P179" s="20" t="str">
        <v>Aux_Equip</v>
      </c>
      <c r="Q179" s="119">
        <f t="shared" ref="Q179:R179" ca="1" si="456">(1-$C$4)*W179</f>
        <v>1.3948847303905554E-2</v>
      </c>
      <c r="R179" s="119">
        <f t="shared" ca="1" si="456"/>
        <v>2.2776790946056901E-2</v>
      </c>
      <c r="S179" s="20">
        <f t="shared" si="4"/>
        <v>0</v>
      </c>
      <c r="T179" s="128">
        <f t="shared" ref="T179:U179" ca="1" si="457">$S179*Q179</f>
        <v>0</v>
      </c>
      <c r="U179" s="128">
        <f t="shared" ca="1" si="457"/>
        <v>0</v>
      </c>
      <c r="W179" s="55">
        <f ca="1"/>
        <v>1.3948847303905554E-2</v>
      </c>
      <c r="X179" s="55">
        <f ca="1"/>
        <v>2.2776790946056901E-2</v>
      </c>
      <c r="Y179" s="21">
        <f ca="1">'nres bld calcs'!G171-S179</f>
        <v>5246076</v>
      </c>
      <c r="Z179" s="128">
        <f t="shared" ref="Z179:AA179" ca="1" si="458">$Y179*W179</f>
        <v>73176.713068683632</v>
      </c>
      <c r="AA179" s="128">
        <f t="shared" ca="1" si="458"/>
        <v>119488.7763391264</v>
      </c>
    </row>
    <row r="180" spans="14:27" ht="13.2">
      <c r="N180" s="20" t="str">
        <v>Montgomery</v>
      </c>
      <c r="O180" s="20" t="str">
        <v>fullservicerestaurant</v>
      </c>
      <c r="P180" s="20" t="str">
        <v>Aux_Motors</v>
      </c>
      <c r="Q180" s="119">
        <f t="shared" ref="Q180:R180" ca="1" si="459">(1-$C$4)*W180</f>
        <v>1.1779112933652337E-2</v>
      </c>
      <c r="R180" s="119">
        <f t="shared" ca="1" si="459"/>
        <v>0</v>
      </c>
      <c r="S180" s="20">
        <f t="shared" si="4"/>
        <v>0</v>
      </c>
      <c r="T180" s="128">
        <f t="shared" ref="T180:U180" ca="1" si="460">$S180*Q180</f>
        <v>0</v>
      </c>
      <c r="U180" s="128">
        <f t="shared" ca="1" si="460"/>
        <v>0</v>
      </c>
      <c r="W180" s="55">
        <f ca="1"/>
        <v>1.1779112933652337E-2</v>
      </c>
      <c r="X180" s="55">
        <f ca="1"/>
        <v>0</v>
      </c>
      <c r="Y180" s="21">
        <f ca="1">'nres bld calcs'!G172-S180</f>
        <v>5246076</v>
      </c>
      <c r="Z180" s="128">
        <f t="shared" ref="Z180:AA180" ca="1" si="461">$Y180*W180</f>
        <v>61794.121662523117</v>
      </c>
      <c r="AA180" s="128">
        <f t="shared" ca="1" si="461"/>
        <v>0</v>
      </c>
    </row>
    <row r="181" spans="14:27" ht="13.2">
      <c r="N181" s="20" t="str">
        <v>Montgomery</v>
      </c>
      <c r="O181" s="20" t="str">
        <v>fullservicerestaurant</v>
      </c>
      <c r="P181" s="20" t="str">
        <v>Lighting</v>
      </c>
      <c r="Q181" s="119">
        <f t="shared" ref="Q181:R181" ca="1" si="462">(1-$C$4)*W181</f>
        <v>5.1645259871888703E-3</v>
      </c>
      <c r="R181" s="119">
        <f t="shared" ca="1" si="462"/>
        <v>0</v>
      </c>
      <c r="S181" s="20">
        <f t="shared" si="4"/>
        <v>0</v>
      </c>
      <c r="T181" s="128">
        <f t="shared" ref="T181:U181" ca="1" si="463">$S181*Q181</f>
        <v>0</v>
      </c>
      <c r="U181" s="128">
        <f t="shared" ca="1" si="463"/>
        <v>0</v>
      </c>
      <c r="W181" s="55">
        <f ca="1"/>
        <v>5.1645259871888703E-3</v>
      </c>
      <c r="X181" s="55">
        <f ca="1"/>
        <v>0</v>
      </c>
      <c r="Y181" s="21">
        <f ca="1">'nres bld calcs'!G173-S181</f>
        <v>5246076</v>
      </c>
      <c r="Z181" s="128">
        <f t="shared" ref="Z181:AA181" ca="1" si="464">$Y181*W181</f>
        <v>27093.49583276784</v>
      </c>
      <c r="AA181" s="128">
        <f t="shared" ca="1" si="464"/>
        <v>0</v>
      </c>
    </row>
    <row r="182" spans="14:27" ht="13.2">
      <c r="N182" s="20" t="str">
        <v>Montgomery</v>
      </c>
      <c r="O182" s="20" t="str">
        <v>fullservicerestaurant</v>
      </c>
      <c r="P182" s="20" t="str">
        <v>Space_Cooling</v>
      </c>
      <c r="Q182" s="119">
        <f t="shared" ref="Q182:R182" ca="1" si="465">(1-$C$4)*W182</f>
        <v>4.9392760186285009E-3</v>
      </c>
      <c r="R182" s="119">
        <f t="shared" ca="1" si="465"/>
        <v>0</v>
      </c>
      <c r="S182" s="20">
        <f t="shared" si="4"/>
        <v>0</v>
      </c>
      <c r="T182" s="128">
        <f t="shared" ref="T182:U182" ca="1" si="466">$S182*Q182</f>
        <v>0</v>
      </c>
      <c r="U182" s="128">
        <f t="shared" ca="1" si="466"/>
        <v>0</v>
      </c>
      <c r="W182" s="55">
        <f ca="1"/>
        <v>4.9392760186285009E-3</v>
      </c>
      <c r="X182" s="55">
        <f ca="1"/>
        <v>0</v>
      </c>
      <c r="Y182" s="21">
        <f ca="1">'nres bld calcs'!G174-S182</f>
        <v>5246076</v>
      </c>
      <c r="Z182" s="128">
        <f t="shared" ref="Z182:AA182" ca="1" si="467">$Y182*W182</f>
        <v>25911.81737870253</v>
      </c>
      <c r="AA182" s="128">
        <f t="shared" ca="1" si="467"/>
        <v>0</v>
      </c>
    </row>
    <row r="183" spans="14:27" ht="13.2">
      <c r="N183" s="20" t="str">
        <v>Montgomery</v>
      </c>
      <c r="O183" s="20" t="str">
        <v>fullservicerestaurant</v>
      </c>
      <c r="P183" s="20" t="str">
        <v>Space_Heating</v>
      </c>
      <c r="Q183" s="119">
        <f ca="1">IF($C$5="Yes",((1-$C$3)*X183/$G$3)+W183,(1-$C$3)*W183)</f>
        <v>7.1185590774926059E-4</v>
      </c>
      <c r="R183" s="119">
        <f ca="1">IF($C$5="Yes",0,(1-$C$3)*X183)</f>
        <v>6.6241101887604672E-3</v>
      </c>
      <c r="S183" s="20">
        <f t="shared" si="4"/>
        <v>0</v>
      </c>
      <c r="T183" s="128">
        <f t="shared" ref="T183:U183" ca="1" si="468">$S183*Q183</f>
        <v>0</v>
      </c>
      <c r="U183" s="128">
        <f t="shared" ca="1" si="468"/>
        <v>0</v>
      </c>
      <c r="W183" s="55">
        <f ca="1"/>
        <v>1.4237118154985212E-3</v>
      </c>
      <c r="X183" s="55">
        <f ca="1"/>
        <v>1.3248220377520934E-2</v>
      </c>
      <c r="Y183" s="21">
        <f ca="1">'nres bld calcs'!G175-S183</f>
        <v>5246076</v>
      </c>
      <c r="Z183" s="128">
        <f t="shared" ref="Z183:AA183" ca="1" si="469">$Y183*W183</f>
        <v>7468.9003862032196</v>
      </c>
      <c r="AA183" s="128">
        <f t="shared" ca="1" si="469"/>
        <v>69501.170965223515</v>
      </c>
    </row>
    <row r="184" spans="14:27" ht="13.2">
      <c r="N184" s="20" t="str">
        <v>Montgomery</v>
      </c>
      <c r="O184" s="20" t="str">
        <v>fullservicerestaurant</v>
      </c>
      <c r="P184" s="20" t="str">
        <v>Water_Heating</v>
      </c>
      <c r="Q184" s="119">
        <f ca="1">IF($C$6="Yes",((1-$C$4)*X184/$G$3)+W184,(1-$C$4)*W184)</f>
        <v>5.5222863265855585E-3</v>
      </c>
      <c r="R184" s="119">
        <f ca="1">IF($C$6="Yes",0,(1-$C$4)*X184)</f>
        <v>1.1433037675128153E-2</v>
      </c>
      <c r="S184" s="20">
        <f t="shared" si="4"/>
        <v>0</v>
      </c>
      <c r="T184" s="128">
        <f t="shared" ref="T184:U184" ca="1" si="470">$S184*Q184</f>
        <v>0</v>
      </c>
      <c r="U184" s="128">
        <f t="shared" ca="1" si="470"/>
        <v>0</v>
      </c>
      <c r="W184" s="55">
        <f ca="1"/>
        <v>5.5222863265855585E-3</v>
      </c>
      <c r="X184" s="55">
        <f ca="1"/>
        <v>1.1433037675128153E-2</v>
      </c>
      <c r="Y184" s="21">
        <f ca="1">'nres bld calcs'!G176-S184</f>
        <v>5246076</v>
      </c>
      <c r="Z184" s="128">
        <f t="shared" ref="Z184:AA184" ca="1" si="471">$Y184*W184</f>
        <v>28970.333763028659</v>
      </c>
      <c r="AA184" s="128">
        <f t="shared" ca="1" si="471"/>
        <v>59978.584554585599</v>
      </c>
    </row>
    <row r="185" spans="14:27" ht="13.2">
      <c r="N185" s="20" t="str">
        <v>Montgomery</v>
      </c>
      <c r="O185" s="20" t="str">
        <v>hospital</v>
      </c>
      <c r="P185" s="20" t="str">
        <v>Aux_Equip</v>
      </c>
      <c r="Q185" s="119">
        <f t="shared" ref="Q185:R185" ca="1" si="472">(1-$C$4)*W185</f>
        <v>0</v>
      </c>
      <c r="R185" s="119">
        <f t="shared" ca="1" si="472"/>
        <v>0</v>
      </c>
      <c r="S185" s="20">
        <f t="shared" si="4"/>
        <v>0</v>
      </c>
      <c r="T185" s="128">
        <f t="shared" ref="T185:U185" ca="1" si="473">$S185*Q185</f>
        <v>0</v>
      </c>
      <c r="U185" s="128">
        <f t="shared" ca="1" si="473"/>
        <v>0</v>
      </c>
      <c r="W185" s="55">
        <f ca="1"/>
        <v>0</v>
      </c>
      <c r="X185" s="55">
        <f ca="1"/>
        <v>0</v>
      </c>
      <c r="Y185" s="21">
        <f>'nres bld calcs'!G177-S185</f>
        <v>0</v>
      </c>
      <c r="Z185" s="128">
        <f t="shared" ref="Z185:AA185" ca="1" si="474">$Y185*W185</f>
        <v>0</v>
      </c>
      <c r="AA185" s="128">
        <f t="shared" ca="1" si="474"/>
        <v>0</v>
      </c>
    </row>
    <row r="186" spans="14:27" ht="13.2">
      <c r="N186" s="20" t="str">
        <v>Montgomery</v>
      </c>
      <c r="O186" s="20" t="str">
        <v>hospital</v>
      </c>
      <c r="P186" s="20" t="str">
        <v>Aux_Motors</v>
      </c>
      <c r="Q186" s="119">
        <f t="shared" ref="Q186:R186" ca="1" si="475">(1-$C$4)*W186</f>
        <v>0</v>
      </c>
      <c r="R186" s="119">
        <f t="shared" ca="1" si="475"/>
        <v>0</v>
      </c>
      <c r="S186" s="20">
        <f t="shared" si="4"/>
        <v>0</v>
      </c>
      <c r="T186" s="128">
        <f t="shared" ref="T186:U186" ca="1" si="476">$S186*Q186</f>
        <v>0</v>
      </c>
      <c r="U186" s="128">
        <f t="shared" ca="1" si="476"/>
        <v>0</v>
      </c>
      <c r="W186" s="55">
        <f ca="1"/>
        <v>0</v>
      </c>
      <c r="X186" s="55">
        <f ca="1"/>
        <v>0</v>
      </c>
      <c r="Y186" s="21">
        <f>'nres bld calcs'!G178-S186</f>
        <v>0</v>
      </c>
      <c r="Z186" s="128">
        <f t="shared" ref="Z186:AA186" ca="1" si="477">$Y186*W186</f>
        <v>0</v>
      </c>
      <c r="AA186" s="128">
        <f t="shared" ca="1" si="477"/>
        <v>0</v>
      </c>
    </row>
    <row r="187" spans="14:27" ht="13.2">
      <c r="N187" s="20" t="str">
        <v>Montgomery</v>
      </c>
      <c r="O187" s="20" t="str">
        <v>hospital</v>
      </c>
      <c r="P187" s="20" t="str">
        <v>Lighting</v>
      </c>
      <c r="Q187" s="119">
        <f t="shared" ref="Q187:R187" ca="1" si="478">(1-$C$4)*W187</f>
        <v>0</v>
      </c>
      <c r="R187" s="119">
        <f t="shared" ca="1" si="478"/>
        <v>0</v>
      </c>
      <c r="S187" s="20">
        <f t="shared" si="4"/>
        <v>0</v>
      </c>
      <c r="T187" s="128">
        <f t="shared" ref="T187:U187" ca="1" si="479">$S187*Q187</f>
        <v>0</v>
      </c>
      <c r="U187" s="128">
        <f t="shared" ca="1" si="479"/>
        <v>0</v>
      </c>
      <c r="W187" s="55">
        <f ca="1"/>
        <v>0</v>
      </c>
      <c r="X187" s="55">
        <f ca="1"/>
        <v>0</v>
      </c>
      <c r="Y187" s="21">
        <f>'nres bld calcs'!G179-S187</f>
        <v>0</v>
      </c>
      <c r="Z187" s="128">
        <f t="shared" ref="Z187:AA187" ca="1" si="480">$Y187*W187</f>
        <v>0</v>
      </c>
      <c r="AA187" s="128">
        <f t="shared" ca="1" si="480"/>
        <v>0</v>
      </c>
    </row>
    <row r="188" spans="14:27" ht="13.2">
      <c r="N188" s="20" t="str">
        <v>Montgomery</v>
      </c>
      <c r="O188" s="20" t="str">
        <v>hospital</v>
      </c>
      <c r="P188" s="20" t="str">
        <v>Space_Cooling</v>
      </c>
      <c r="Q188" s="119">
        <f t="shared" ref="Q188:R188" ca="1" si="481">(1-$C$4)*W188</f>
        <v>0</v>
      </c>
      <c r="R188" s="119">
        <f t="shared" ca="1" si="481"/>
        <v>0</v>
      </c>
      <c r="S188" s="20">
        <f t="shared" si="4"/>
        <v>0</v>
      </c>
      <c r="T188" s="128">
        <f t="shared" ref="T188:U188" ca="1" si="482">$S188*Q188</f>
        <v>0</v>
      </c>
      <c r="U188" s="128">
        <f t="shared" ca="1" si="482"/>
        <v>0</v>
      </c>
      <c r="W188" s="55">
        <f ca="1"/>
        <v>0</v>
      </c>
      <c r="X188" s="55">
        <f ca="1"/>
        <v>0</v>
      </c>
      <c r="Y188" s="21">
        <f>'nres bld calcs'!G180-S188</f>
        <v>0</v>
      </c>
      <c r="Z188" s="128">
        <f t="shared" ref="Z188:AA188" ca="1" si="483">$Y188*W188</f>
        <v>0</v>
      </c>
      <c r="AA188" s="128">
        <f t="shared" ca="1" si="483"/>
        <v>0</v>
      </c>
    </row>
    <row r="189" spans="14:27" ht="13.2">
      <c r="N189" s="20" t="str">
        <v>Montgomery</v>
      </c>
      <c r="O189" s="20" t="str">
        <v>hospital</v>
      </c>
      <c r="P189" s="20" t="str">
        <v>Space_Heating</v>
      </c>
      <c r="Q189" s="119">
        <f ca="1">IF($C$5="Yes",((1-$C$3)*X189/$G$3)+W189,(1-$C$3)*W189)</f>
        <v>0</v>
      </c>
      <c r="R189" s="119">
        <f ca="1">IF($C$5="Yes",0,(1-$C$3)*X189)</f>
        <v>0</v>
      </c>
      <c r="S189" s="20">
        <f t="shared" si="4"/>
        <v>0</v>
      </c>
      <c r="T189" s="128">
        <f t="shared" ref="T189:U189" ca="1" si="484">$S189*Q189</f>
        <v>0</v>
      </c>
      <c r="U189" s="128">
        <f t="shared" ca="1" si="484"/>
        <v>0</v>
      </c>
      <c r="W189" s="55">
        <f ca="1"/>
        <v>0</v>
      </c>
      <c r="X189" s="55">
        <f ca="1"/>
        <v>0</v>
      </c>
      <c r="Y189" s="21">
        <f>'nres bld calcs'!G181-S189</f>
        <v>0</v>
      </c>
      <c r="Z189" s="128">
        <f t="shared" ref="Z189:AA189" ca="1" si="485">$Y189*W189</f>
        <v>0</v>
      </c>
      <c r="AA189" s="128">
        <f t="shared" ca="1" si="485"/>
        <v>0</v>
      </c>
    </row>
    <row r="190" spans="14:27" ht="13.2">
      <c r="N190" s="20" t="str">
        <v>Montgomery</v>
      </c>
      <c r="O190" s="20" t="str">
        <v>hospital</v>
      </c>
      <c r="P190" s="20" t="str">
        <v>Water_Heating</v>
      </c>
      <c r="Q190" s="119">
        <f ca="1">IF($C$6="Yes",((1-$C$4)*X190/$G$3)+W190,(1-$C$4)*W190)</f>
        <v>0</v>
      </c>
      <c r="R190" s="119">
        <f ca="1">IF($C$6="Yes",0,(1-$C$4)*X190)</f>
        <v>0</v>
      </c>
      <c r="S190" s="20">
        <f t="shared" si="4"/>
        <v>0</v>
      </c>
      <c r="T190" s="128">
        <f t="shared" ref="T190:U190" ca="1" si="486">$S190*Q190</f>
        <v>0</v>
      </c>
      <c r="U190" s="128">
        <f t="shared" ca="1" si="486"/>
        <v>0</v>
      </c>
      <c r="W190" s="55">
        <f ca="1"/>
        <v>0</v>
      </c>
      <c r="X190" s="55">
        <f ca="1"/>
        <v>0</v>
      </c>
      <c r="Y190" s="21">
        <f>'nres bld calcs'!G182-S190</f>
        <v>0</v>
      </c>
      <c r="Z190" s="128">
        <f t="shared" ref="Z190:AA190" ca="1" si="487">$Y190*W190</f>
        <v>0</v>
      </c>
      <c r="AA190" s="128">
        <f t="shared" ca="1" si="487"/>
        <v>0</v>
      </c>
    </row>
    <row r="191" spans="14:27" ht="13.2">
      <c r="N191" s="20" t="str">
        <v>Montgomery</v>
      </c>
      <c r="O191" s="20" t="str">
        <v>largehotel</v>
      </c>
      <c r="P191" s="20" t="str">
        <v>Aux_Equip</v>
      </c>
      <c r="Q191" s="119">
        <f t="shared" ref="Q191:R191" ca="1" si="488">(1-$C$4)*W191</f>
        <v>0</v>
      </c>
      <c r="R191" s="119">
        <f t="shared" ca="1" si="488"/>
        <v>0</v>
      </c>
      <c r="S191" s="20">
        <f t="shared" si="4"/>
        <v>0</v>
      </c>
      <c r="T191" s="128">
        <f t="shared" ref="T191:U191" ca="1" si="489">$S191*Q191</f>
        <v>0</v>
      </c>
      <c r="U191" s="128">
        <f t="shared" ca="1" si="489"/>
        <v>0</v>
      </c>
      <c r="W191" s="55">
        <f ca="1"/>
        <v>0</v>
      </c>
      <c r="X191" s="55">
        <f ca="1"/>
        <v>0</v>
      </c>
      <c r="Y191" s="21">
        <f>'nres bld calcs'!G183-S191</f>
        <v>0</v>
      </c>
      <c r="Z191" s="128">
        <f t="shared" ref="Z191:AA191" ca="1" si="490">$Y191*W191</f>
        <v>0</v>
      </c>
      <c r="AA191" s="128">
        <f t="shared" ca="1" si="490"/>
        <v>0</v>
      </c>
    </row>
    <row r="192" spans="14:27" ht="13.2">
      <c r="N192" s="20" t="str">
        <v>Montgomery</v>
      </c>
      <c r="O192" s="20" t="str">
        <v>largehotel</v>
      </c>
      <c r="P192" s="20" t="str">
        <v>Aux_Motors</v>
      </c>
      <c r="Q192" s="119">
        <f t="shared" ref="Q192:R192" ca="1" si="491">(1-$C$4)*W192</f>
        <v>0</v>
      </c>
      <c r="R192" s="119">
        <f t="shared" ca="1" si="491"/>
        <v>0</v>
      </c>
      <c r="S192" s="20">
        <f t="shared" si="4"/>
        <v>0</v>
      </c>
      <c r="T192" s="128">
        <f t="shared" ref="T192:U192" ca="1" si="492">$S192*Q192</f>
        <v>0</v>
      </c>
      <c r="U192" s="128">
        <f t="shared" ca="1" si="492"/>
        <v>0</v>
      </c>
      <c r="W192" s="55">
        <f ca="1"/>
        <v>0</v>
      </c>
      <c r="X192" s="55">
        <f ca="1"/>
        <v>0</v>
      </c>
      <c r="Y192" s="21">
        <f>'nres bld calcs'!G184-S192</f>
        <v>0</v>
      </c>
      <c r="Z192" s="128">
        <f t="shared" ref="Z192:AA192" ca="1" si="493">$Y192*W192</f>
        <v>0</v>
      </c>
      <c r="AA192" s="128">
        <f t="shared" ca="1" si="493"/>
        <v>0</v>
      </c>
    </row>
    <row r="193" spans="14:27" ht="13.2">
      <c r="N193" s="20" t="str">
        <v>Montgomery</v>
      </c>
      <c r="O193" s="20" t="str">
        <v>largehotel</v>
      </c>
      <c r="P193" s="20" t="str">
        <v>Lighting</v>
      </c>
      <c r="Q193" s="119">
        <f t="shared" ref="Q193:R193" ca="1" si="494">(1-$C$4)*W193</f>
        <v>0</v>
      </c>
      <c r="R193" s="119">
        <f t="shared" ca="1" si="494"/>
        <v>0</v>
      </c>
      <c r="S193" s="20">
        <f t="shared" si="4"/>
        <v>0</v>
      </c>
      <c r="T193" s="128">
        <f t="shared" ref="T193:U193" ca="1" si="495">$S193*Q193</f>
        <v>0</v>
      </c>
      <c r="U193" s="128">
        <f t="shared" ca="1" si="495"/>
        <v>0</v>
      </c>
      <c r="W193" s="55">
        <f ca="1"/>
        <v>0</v>
      </c>
      <c r="X193" s="55">
        <f ca="1"/>
        <v>0</v>
      </c>
      <c r="Y193" s="21">
        <f>'nres bld calcs'!G185-S193</f>
        <v>0</v>
      </c>
      <c r="Z193" s="128">
        <f t="shared" ref="Z193:AA193" ca="1" si="496">$Y193*W193</f>
        <v>0</v>
      </c>
      <c r="AA193" s="128">
        <f t="shared" ca="1" si="496"/>
        <v>0</v>
      </c>
    </row>
    <row r="194" spans="14:27" ht="13.2">
      <c r="N194" s="20" t="str">
        <v>Montgomery</v>
      </c>
      <c r="O194" s="20" t="str">
        <v>largehotel</v>
      </c>
      <c r="P194" s="20" t="str">
        <v>Space_Cooling</v>
      </c>
      <c r="Q194" s="119">
        <f t="shared" ref="Q194:R194" ca="1" si="497">(1-$C$4)*W194</f>
        <v>0</v>
      </c>
      <c r="R194" s="119">
        <f t="shared" ca="1" si="497"/>
        <v>0</v>
      </c>
      <c r="S194" s="20">
        <f t="shared" si="4"/>
        <v>0</v>
      </c>
      <c r="T194" s="128">
        <f t="shared" ref="T194:U194" ca="1" si="498">$S194*Q194</f>
        <v>0</v>
      </c>
      <c r="U194" s="128">
        <f t="shared" ca="1" si="498"/>
        <v>0</v>
      </c>
      <c r="W194" s="55">
        <f ca="1"/>
        <v>0</v>
      </c>
      <c r="X194" s="55">
        <f ca="1"/>
        <v>0</v>
      </c>
      <c r="Y194" s="21">
        <f>'nres bld calcs'!G186-S194</f>
        <v>0</v>
      </c>
      <c r="Z194" s="128">
        <f t="shared" ref="Z194:AA194" ca="1" si="499">$Y194*W194</f>
        <v>0</v>
      </c>
      <c r="AA194" s="128">
        <f t="shared" ca="1" si="499"/>
        <v>0</v>
      </c>
    </row>
    <row r="195" spans="14:27" ht="13.2">
      <c r="N195" s="20" t="str">
        <v>Montgomery</v>
      </c>
      <c r="O195" s="20" t="str">
        <v>largehotel</v>
      </c>
      <c r="P195" s="20" t="str">
        <v>Space_Heating</v>
      </c>
      <c r="Q195" s="119">
        <f ca="1">IF($C$5="Yes",((1-$C$3)*X195/$G$3)+W195,(1-$C$3)*W195)</f>
        <v>0</v>
      </c>
      <c r="R195" s="119">
        <f ca="1">IF($C$5="Yes",0,(1-$C$3)*X195)</f>
        <v>0</v>
      </c>
      <c r="S195" s="20">
        <f t="shared" si="4"/>
        <v>0</v>
      </c>
      <c r="T195" s="128">
        <f t="shared" ref="T195:U195" ca="1" si="500">$S195*Q195</f>
        <v>0</v>
      </c>
      <c r="U195" s="128">
        <f t="shared" ca="1" si="500"/>
        <v>0</v>
      </c>
      <c r="W195" s="55">
        <f ca="1"/>
        <v>0</v>
      </c>
      <c r="X195" s="55">
        <f ca="1"/>
        <v>0</v>
      </c>
      <c r="Y195" s="21">
        <f>'nres bld calcs'!G187-S195</f>
        <v>0</v>
      </c>
      <c r="Z195" s="128">
        <f t="shared" ref="Z195:AA195" ca="1" si="501">$Y195*W195</f>
        <v>0</v>
      </c>
      <c r="AA195" s="128">
        <f t="shared" ca="1" si="501"/>
        <v>0</v>
      </c>
    </row>
    <row r="196" spans="14:27" ht="13.2">
      <c r="N196" s="20" t="str">
        <v>Montgomery</v>
      </c>
      <c r="O196" s="20" t="str">
        <v>largehotel</v>
      </c>
      <c r="P196" s="20" t="str">
        <v>Water_Heating</v>
      </c>
      <c r="Q196" s="119">
        <f ca="1">IF($C$6="Yes",((1-$C$4)*X196/$G$3)+W196,(1-$C$4)*W196)</f>
        <v>0</v>
      </c>
      <c r="R196" s="119">
        <f ca="1">IF($C$6="Yes",0,(1-$C$4)*X196)</f>
        <v>0</v>
      </c>
      <c r="S196" s="20">
        <f t="shared" si="4"/>
        <v>0</v>
      </c>
      <c r="T196" s="128">
        <f t="shared" ref="T196:U196" ca="1" si="502">$S196*Q196</f>
        <v>0</v>
      </c>
      <c r="U196" s="128">
        <f t="shared" ca="1" si="502"/>
        <v>0</v>
      </c>
      <c r="W196" s="55">
        <f ca="1"/>
        <v>0</v>
      </c>
      <c r="X196" s="55">
        <f ca="1"/>
        <v>0</v>
      </c>
      <c r="Y196" s="21">
        <f>'nres bld calcs'!G188-S196</f>
        <v>0</v>
      </c>
      <c r="Z196" s="128">
        <f t="shared" ref="Z196:AA196" ca="1" si="503">$Y196*W196</f>
        <v>0</v>
      </c>
      <c r="AA196" s="128">
        <f t="shared" ca="1" si="503"/>
        <v>0</v>
      </c>
    </row>
    <row r="197" spans="14:27" ht="13.2">
      <c r="N197" s="20" t="str">
        <v>Montgomery</v>
      </c>
      <c r="O197" s="20" t="str">
        <v>largeoffice</v>
      </c>
      <c r="P197" s="20" t="str">
        <v>Aux_Equip</v>
      </c>
      <c r="Q197" s="119">
        <f t="shared" ref="Q197:R197" ca="1" si="504">(1-$C$4)*W197</f>
        <v>0</v>
      </c>
      <c r="R197" s="119">
        <f t="shared" ca="1" si="504"/>
        <v>0</v>
      </c>
      <c r="S197" s="20">
        <f t="shared" si="4"/>
        <v>0</v>
      </c>
      <c r="T197" s="128">
        <f t="shared" ref="T197:U197" ca="1" si="505">$S197*Q197</f>
        <v>0</v>
      </c>
      <c r="U197" s="128">
        <f t="shared" ca="1" si="505"/>
        <v>0</v>
      </c>
      <c r="W197" s="55">
        <f ca="1"/>
        <v>0</v>
      </c>
      <c r="X197" s="55">
        <f ca="1"/>
        <v>0</v>
      </c>
      <c r="Y197" s="21">
        <f>'nres bld calcs'!G189-S197</f>
        <v>0</v>
      </c>
      <c r="Z197" s="128">
        <f t="shared" ref="Z197:AA197" ca="1" si="506">$Y197*W197</f>
        <v>0</v>
      </c>
      <c r="AA197" s="128">
        <f t="shared" ca="1" si="506"/>
        <v>0</v>
      </c>
    </row>
    <row r="198" spans="14:27" ht="13.2">
      <c r="N198" s="20" t="str">
        <v>Montgomery</v>
      </c>
      <c r="O198" s="20" t="str">
        <v>largeoffice</v>
      </c>
      <c r="P198" s="20" t="str">
        <v>Aux_Motors</v>
      </c>
      <c r="Q198" s="119">
        <f t="shared" ref="Q198:R198" ca="1" si="507">(1-$C$4)*W198</f>
        <v>0</v>
      </c>
      <c r="R198" s="119">
        <f t="shared" ca="1" si="507"/>
        <v>0</v>
      </c>
      <c r="S198" s="20">
        <f t="shared" si="4"/>
        <v>0</v>
      </c>
      <c r="T198" s="128">
        <f t="shared" ref="T198:U198" ca="1" si="508">$S198*Q198</f>
        <v>0</v>
      </c>
      <c r="U198" s="128">
        <f t="shared" ca="1" si="508"/>
        <v>0</v>
      </c>
      <c r="W198" s="55">
        <f ca="1"/>
        <v>0</v>
      </c>
      <c r="X198" s="55">
        <f ca="1"/>
        <v>0</v>
      </c>
      <c r="Y198" s="21">
        <f>'nres bld calcs'!G190-S198</f>
        <v>0</v>
      </c>
      <c r="Z198" s="128">
        <f t="shared" ref="Z198:AA198" ca="1" si="509">$Y198*W198</f>
        <v>0</v>
      </c>
      <c r="AA198" s="128">
        <f t="shared" ca="1" si="509"/>
        <v>0</v>
      </c>
    </row>
    <row r="199" spans="14:27" ht="13.2">
      <c r="N199" s="20" t="str">
        <v>Montgomery</v>
      </c>
      <c r="O199" s="20" t="str">
        <v>largeoffice</v>
      </c>
      <c r="P199" s="20" t="str">
        <v>Lighting</v>
      </c>
      <c r="Q199" s="119">
        <f t="shared" ref="Q199:R199" ca="1" si="510">(1-$C$4)*W199</f>
        <v>0</v>
      </c>
      <c r="R199" s="119">
        <f t="shared" ca="1" si="510"/>
        <v>0</v>
      </c>
      <c r="S199" s="20">
        <f t="shared" si="4"/>
        <v>0</v>
      </c>
      <c r="T199" s="128">
        <f t="shared" ref="T199:U199" ca="1" si="511">$S199*Q199</f>
        <v>0</v>
      </c>
      <c r="U199" s="128">
        <f t="shared" ca="1" si="511"/>
        <v>0</v>
      </c>
      <c r="W199" s="55">
        <f ca="1"/>
        <v>0</v>
      </c>
      <c r="X199" s="55">
        <f ca="1"/>
        <v>0</v>
      </c>
      <c r="Y199" s="21">
        <f>'nres bld calcs'!G191-S199</f>
        <v>0</v>
      </c>
      <c r="Z199" s="128">
        <f t="shared" ref="Z199:AA199" ca="1" si="512">$Y199*W199</f>
        <v>0</v>
      </c>
      <c r="AA199" s="128">
        <f t="shared" ca="1" si="512"/>
        <v>0</v>
      </c>
    </row>
    <row r="200" spans="14:27" ht="13.2">
      <c r="N200" s="20" t="str">
        <v>Montgomery</v>
      </c>
      <c r="O200" s="20" t="str">
        <v>largeoffice</v>
      </c>
      <c r="P200" s="20" t="str">
        <v>Space_Cooling</v>
      </c>
      <c r="Q200" s="119">
        <f t="shared" ref="Q200:R200" ca="1" si="513">(1-$C$4)*W200</f>
        <v>0</v>
      </c>
      <c r="R200" s="119">
        <f t="shared" ca="1" si="513"/>
        <v>0</v>
      </c>
      <c r="S200" s="20">
        <f t="shared" si="4"/>
        <v>0</v>
      </c>
      <c r="T200" s="128">
        <f t="shared" ref="T200:U200" ca="1" si="514">$S200*Q200</f>
        <v>0</v>
      </c>
      <c r="U200" s="128">
        <f t="shared" ca="1" si="514"/>
        <v>0</v>
      </c>
      <c r="W200" s="55">
        <f ca="1"/>
        <v>0</v>
      </c>
      <c r="X200" s="55">
        <f ca="1"/>
        <v>0</v>
      </c>
      <c r="Y200" s="21">
        <f>'nres bld calcs'!G192-S200</f>
        <v>0</v>
      </c>
      <c r="Z200" s="128">
        <f t="shared" ref="Z200:AA200" ca="1" si="515">$Y200*W200</f>
        <v>0</v>
      </c>
      <c r="AA200" s="128">
        <f t="shared" ca="1" si="515"/>
        <v>0</v>
      </c>
    </row>
    <row r="201" spans="14:27" ht="13.2">
      <c r="N201" s="20" t="str">
        <v>Montgomery</v>
      </c>
      <c r="O201" s="20" t="str">
        <v>largeoffice</v>
      </c>
      <c r="P201" s="20" t="str">
        <v>Space_Heating</v>
      </c>
      <c r="Q201" s="119">
        <f ca="1">IF($C$5="Yes",((1-$C$3)*X201/$G$3)+W201,(1-$C$3)*W201)</f>
        <v>0</v>
      </c>
      <c r="R201" s="119">
        <f ca="1">IF($C$5="Yes",0,(1-$C$3)*X201)</f>
        <v>0</v>
      </c>
      <c r="S201" s="20">
        <f t="shared" si="4"/>
        <v>0</v>
      </c>
      <c r="T201" s="128">
        <f t="shared" ref="T201:U201" ca="1" si="516">$S201*Q201</f>
        <v>0</v>
      </c>
      <c r="U201" s="128">
        <f t="shared" ca="1" si="516"/>
        <v>0</v>
      </c>
      <c r="W201" s="55">
        <f ca="1"/>
        <v>0</v>
      </c>
      <c r="X201" s="55">
        <f ca="1"/>
        <v>0</v>
      </c>
      <c r="Y201" s="21">
        <f>'nres bld calcs'!G193-S201</f>
        <v>0</v>
      </c>
      <c r="Z201" s="128">
        <f t="shared" ref="Z201:AA201" ca="1" si="517">$Y201*W201</f>
        <v>0</v>
      </c>
      <c r="AA201" s="128">
        <f t="shared" ca="1" si="517"/>
        <v>0</v>
      </c>
    </row>
    <row r="202" spans="14:27" ht="13.2">
      <c r="N202" s="20" t="str">
        <v>Montgomery</v>
      </c>
      <c r="O202" s="20" t="str">
        <v>largeoffice</v>
      </c>
      <c r="P202" s="20" t="str">
        <v>Water_Heating</v>
      </c>
      <c r="Q202" s="119">
        <f ca="1">IF($C$6="Yes",((1-$C$4)*X202/$G$3)+W202,(1-$C$4)*W202)</f>
        <v>0</v>
      </c>
      <c r="R202" s="119">
        <f ca="1">IF($C$6="Yes",0,(1-$C$4)*X202)</f>
        <v>0</v>
      </c>
      <c r="S202" s="20">
        <f t="shared" si="4"/>
        <v>0</v>
      </c>
      <c r="T202" s="128">
        <f t="shared" ref="T202:U202" ca="1" si="518">$S202*Q202</f>
        <v>0</v>
      </c>
      <c r="U202" s="128">
        <f t="shared" ca="1" si="518"/>
        <v>0</v>
      </c>
      <c r="W202" s="55">
        <f ca="1"/>
        <v>0</v>
      </c>
      <c r="X202" s="55">
        <f ca="1"/>
        <v>0</v>
      </c>
      <c r="Y202" s="21">
        <f>'nres bld calcs'!G194-S202</f>
        <v>0</v>
      </c>
      <c r="Z202" s="128">
        <f t="shared" ref="Z202:AA202" ca="1" si="519">$Y202*W202</f>
        <v>0</v>
      </c>
      <c r="AA202" s="128">
        <f t="shared" ca="1" si="519"/>
        <v>0</v>
      </c>
    </row>
    <row r="203" spans="14:27" ht="13.2">
      <c r="N203" s="20" t="str">
        <v>Montgomery</v>
      </c>
      <c r="O203" s="20" t="str">
        <v>mediumoffice</v>
      </c>
      <c r="P203" s="20" t="str">
        <v>Aux_Equip</v>
      </c>
      <c r="Q203" s="119">
        <f t="shared" ref="Q203:R203" ca="1" si="520">(1-$C$4)*W203</f>
        <v>1.6929494806359937E-2</v>
      </c>
      <c r="R203" s="119">
        <f t="shared" ca="1" si="520"/>
        <v>0</v>
      </c>
      <c r="S203" s="20">
        <f t="shared" si="4"/>
        <v>0</v>
      </c>
      <c r="T203" s="128">
        <f t="shared" ref="T203:U203" ca="1" si="521">$S203*Q203</f>
        <v>0</v>
      </c>
      <c r="U203" s="128">
        <f t="shared" ca="1" si="521"/>
        <v>0</v>
      </c>
      <c r="W203" s="55">
        <f ca="1"/>
        <v>1.6929494806359937E-2</v>
      </c>
      <c r="X203" s="55">
        <f ca="1"/>
        <v>0</v>
      </c>
      <c r="Y203" s="21">
        <f ca="1">'nres bld calcs'!G195-S203</f>
        <v>69650443</v>
      </c>
      <c r="Z203" s="128">
        <f t="shared" ref="Z203:AA203" ca="1" si="522">$Y203*W203</f>
        <v>1179146.8130291689</v>
      </c>
      <c r="AA203" s="128">
        <f t="shared" ca="1" si="522"/>
        <v>0</v>
      </c>
    </row>
    <row r="204" spans="14:27" ht="13.2">
      <c r="N204" s="20" t="str">
        <v>Montgomery</v>
      </c>
      <c r="O204" s="20" t="str">
        <v>mediumoffice</v>
      </c>
      <c r="P204" s="20" t="str">
        <v>Aux_Motors</v>
      </c>
      <c r="Q204" s="119">
        <f t="shared" ref="Q204:R204" ca="1" si="523">(1-$C$4)*W204</f>
        <v>1.2046237220269911E-2</v>
      </c>
      <c r="R204" s="119">
        <f t="shared" ca="1" si="523"/>
        <v>0</v>
      </c>
      <c r="S204" s="20">
        <f t="shared" si="4"/>
        <v>0</v>
      </c>
      <c r="T204" s="128">
        <f t="shared" ref="T204:U204" ca="1" si="524">$S204*Q204</f>
        <v>0</v>
      </c>
      <c r="U204" s="128">
        <f t="shared" ca="1" si="524"/>
        <v>0</v>
      </c>
      <c r="W204" s="55">
        <f ca="1"/>
        <v>1.2046237220269911E-2</v>
      </c>
      <c r="X204" s="55">
        <f ca="1"/>
        <v>0</v>
      </c>
      <c r="Y204" s="21">
        <f ca="1">'nres bld calcs'!G196-S204</f>
        <v>69650443</v>
      </c>
      <c r="Z204" s="128">
        <f t="shared" ref="Z204:AA204" ca="1" si="525">$Y204*W204</f>
        <v>839025.75887488795</v>
      </c>
      <c r="AA204" s="128">
        <f t="shared" ca="1" si="525"/>
        <v>0</v>
      </c>
    </row>
    <row r="205" spans="14:27" ht="13.2">
      <c r="N205" s="20" t="str">
        <v>Montgomery</v>
      </c>
      <c r="O205" s="20" t="str">
        <v>mediumoffice</v>
      </c>
      <c r="P205" s="20" t="str">
        <v>Lighting</v>
      </c>
      <c r="Q205" s="119">
        <f t="shared" ref="Q205:R205" ca="1" si="526">(1-$C$4)*W205</f>
        <v>5.4427648702330628E-3</v>
      </c>
      <c r="R205" s="119">
        <f t="shared" ca="1" si="526"/>
        <v>0</v>
      </c>
      <c r="S205" s="20">
        <f t="shared" si="4"/>
        <v>0</v>
      </c>
      <c r="T205" s="128">
        <f t="shared" ref="T205:U205" ca="1" si="527">$S205*Q205</f>
        <v>0</v>
      </c>
      <c r="U205" s="128">
        <f t="shared" ca="1" si="527"/>
        <v>0</v>
      </c>
      <c r="W205" s="55">
        <f ca="1"/>
        <v>5.4427648702330628E-3</v>
      </c>
      <c r="X205" s="55">
        <f ca="1"/>
        <v>0</v>
      </c>
      <c r="Y205" s="21">
        <f ca="1">'nres bld calcs'!G197-S205</f>
        <v>69650443</v>
      </c>
      <c r="Z205" s="128">
        <f t="shared" ref="Z205:AA205" ca="1" si="528">$Y205*W205</f>
        <v>379090.98435657035</v>
      </c>
      <c r="AA205" s="128">
        <f t="shared" ca="1" si="528"/>
        <v>0</v>
      </c>
    </row>
    <row r="206" spans="14:27" ht="13.2">
      <c r="N206" s="20" t="str">
        <v>Montgomery</v>
      </c>
      <c r="O206" s="20" t="str">
        <v>mediumoffice</v>
      </c>
      <c r="P206" s="20" t="str">
        <v>Space_Cooling</v>
      </c>
      <c r="Q206" s="119">
        <f t="shared" ref="Q206:R206" ca="1" si="529">(1-$C$4)*W206</f>
        <v>6.3338590207342926E-3</v>
      </c>
      <c r="R206" s="119">
        <f t="shared" ca="1" si="529"/>
        <v>0</v>
      </c>
      <c r="S206" s="20">
        <f t="shared" si="4"/>
        <v>0</v>
      </c>
      <c r="T206" s="128">
        <f t="shared" ref="T206:U206" ca="1" si="530">$S206*Q206</f>
        <v>0</v>
      </c>
      <c r="U206" s="128">
        <f t="shared" ca="1" si="530"/>
        <v>0</v>
      </c>
      <c r="W206" s="55">
        <f ca="1"/>
        <v>6.3338590207342926E-3</v>
      </c>
      <c r="X206" s="55">
        <f ca="1"/>
        <v>0</v>
      </c>
      <c r="Y206" s="21">
        <f ca="1">'nres bld calcs'!G198-S206</f>
        <v>69650443</v>
      </c>
      <c r="Z206" s="128">
        <f t="shared" ref="Z206:AA206" ca="1" si="531">$Y206*W206</f>
        <v>441156.08669368969</v>
      </c>
      <c r="AA206" s="128">
        <f t="shared" ca="1" si="531"/>
        <v>0</v>
      </c>
    </row>
    <row r="207" spans="14:27" ht="13.2">
      <c r="N207" s="20" t="str">
        <v>Montgomery</v>
      </c>
      <c r="O207" s="20" t="str">
        <v>mediumoffice</v>
      </c>
      <c r="P207" s="20" t="str">
        <v>Space_Heating</v>
      </c>
      <c r="Q207" s="119">
        <f ca="1">IF($C$5="Yes",((1-$C$3)*X207/$G$3)+W207,(1-$C$3)*W207)</f>
        <v>7.8727330627943422E-4</v>
      </c>
      <c r="R207" s="119">
        <f ca="1">IF($C$5="Yes",0,(1-$C$3)*X207)</f>
        <v>2.2602711938069776E-2</v>
      </c>
      <c r="S207" s="20">
        <f t="shared" si="4"/>
        <v>0</v>
      </c>
      <c r="T207" s="128">
        <f t="shared" ref="T207:U207" ca="1" si="532">$S207*Q207</f>
        <v>0</v>
      </c>
      <c r="U207" s="128">
        <f t="shared" ca="1" si="532"/>
        <v>0</v>
      </c>
      <c r="W207" s="55">
        <f ca="1"/>
        <v>1.5745466125588684E-3</v>
      </c>
      <c r="X207" s="55">
        <f ca="1"/>
        <v>4.5205423876139551E-2</v>
      </c>
      <c r="Y207" s="21">
        <f ca="1">'nres bld calcs'!G199-S207</f>
        <v>69650443</v>
      </c>
      <c r="Z207" s="128">
        <f t="shared" ref="Z207:AA207" ca="1" si="533">$Y207*W207</f>
        <v>109667.86908887455</v>
      </c>
      <c r="AA207" s="128">
        <f t="shared" ca="1" si="533"/>
        <v>3148577.798975897</v>
      </c>
    </row>
    <row r="208" spans="14:27" ht="13.2">
      <c r="N208" s="20" t="str">
        <v>Montgomery</v>
      </c>
      <c r="O208" s="20" t="str">
        <v>mediumoffice</v>
      </c>
      <c r="P208" s="20" t="str">
        <v>Water_Heating</v>
      </c>
      <c r="Q208" s="119">
        <f ca="1">IF($C$6="Yes",((1-$C$4)*X208/$G$3)+W208,(1-$C$4)*W208)</f>
        <v>4.508578553032542E-4</v>
      </c>
      <c r="R208" s="119">
        <f ca="1">IF($C$6="Yes",0,(1-$C$4)*X208)</f>
        <v>2.2526251225664286E-3</v>
      </c>
      <c r="S208" s="20">
        <f t="shared" si="4"/>
        <v>0</v>
      </c>
      <c r="T208" s="128">
        <f t="shared" ref="T208:U208" ca="1" si="534">$S208*Q208</f>
        <v>0</v>
      </c>
      <c r="U208" s="128">
        <f t="shared" ca="1" si="534"/>
        <v>0</v>
      </c>
      <c r="W208" s="55">
        <f ca="1"/>
        <v>4.508578553032542E-4</v>
      </c>
      <c r="X208" s="55">
        <f ca="1"/>
        <v>2.2526251225664286E-3</v>
      </c>
      <c r="Y208" s="21">
        <f ca="1">'nres bld calcs'!G200-S208</f>
        <v>69650443</v>
      </c>
      <c r="Z208" s="128">
        <f t="shared" ref="Z208:AA208" ca="1" si="535">$Y208*W208</f>
        <v>31402.449351901556</v>
      </c>
      <c r="AA208" s="128">
        <f t="shared" ca="1" si="535"/>
        <v>156896.33769968105</v>
      </c>
    </row>
    <row r="209" spans="14:27" ht="13.2">
      <c r="N209" s="20" t="str">
        <v>Montgomery</v>
      </c>
      <c r="O209" s="20" t="str">
        <v>outpatient</v>
      </c>
      <c r="P209" s="20" t="str">
        <v>Aux_Equip</v>
      </c>
      <c r="Q209" s="119">
        <f t="shared" ref="Q209:R209" ca="1" si="536">(1-$C$4)*W209</f>
        <v>0</v>
      </c>
      <c r="R209" s="119">
        <f t="shared" ca="1" si="536"/>
        <v>0</v>
      </c>
      <c r="S209" s="20">
        <f t="shared" si="4"/>
        <v>0</v>
      </c>
      <c r="T209" s="128">
        <f t="shared" ref="T209:U209" ca="1" si="537">$S209*Q209</f>
        <v>0</v>
      </c>
      <c r="U209" s="128">
        <f t="shared" ca="1" si="537"/>
        <v>0</v>
      </c>
      <c r="W209" s="55">
        <f ca="1"/>
        <v>0</v>
      </c>
      <c r="X209" s="55">
        <f ca="1"/>
        <v>0</v>
      </c>
      <c r="Y209" s="21">
        <f>'nres bld calcs'!G201-S209</f>
        <v>0</v>
      </c>
      <c r="Z209" s="128">
        <f t="shared" ref="Z209:AA209" ca="1" si="538">$Y209*W209</f>
        <v>0</v>
      </c>
      <c r="AA209" s="128">
        <f t="shared" ca="1" si="538"/>
        <v>0</v>
      </c>
    </row>
    <row r="210" spans="14:27" ht="13.2">
      <c r="N210" s="20" t="str">
        <v>Montgomery</v>
      </c>
      <c r="O210" s="20" t="str">
        <v>outpatient</v>
      </c>
      <c r="P210" s="20" t="str">
        <v>Aux_Motors</v>
      </c>
      <c r="Q210" s="119">
        <f t="shared" ref="Q210:R210" ca="1" si="539">(1-$C$4)*W210</f>
        <v>0</v>
      </c>
      <c r="R210" s="119">
        <f t="shared" ca="1" si="539"/>
        <v>0</v>
      </c>
      <c r="S210" s="20">
        <f t="shared" si="4"/>
        <v>0</v>
      </c>
      <c r="T210" s="128">
        <f t="shared" ref="T210:U210" ca="1" si="540">$S210*Q210</f>
        <v>0</v>
      </c>
      <c r="U210" s="128">
        <f t="shared" ca="1" si="540"/>
        <v>0</v>
      </c>
      <c r="W210" s="55">
        <f ca="1"/>
        <v>0</v>
      </c>
      <c r="X210" s="55">
        <f ca="1"/>
        <v>0</v>
      </c>
      <c r="Y210" s="21">
        <f>'nres bld calcs'!G202-S210</f>
        <v>0</v>
      </c>
      <c r="Z210" s="128">
        <f t="shared" ref="Z210:AA210" ca="1" si="541">$Y210*W210</f>
        <v>0</v>
      </c>
      <c r="AA210" s="128">
        <f t="shared" ca="1" si="541"/>
        <v>0</v>
      </c>
    </row>
    <row r="211" spans="14:27" ht="13.2">
      <c r="N211" s="20" t="str">
        <v>Montgomery</v>
      </c>
      <c r="O211" s="20" t="str">
        <v>outpatient</v>
      </c>
      <c r="P211" s="20" t="str">
        <v>Lighting</v>
      </c>
      <c r="Q211" s="119">
        <f t="shared" ref="Q211:R211" ca="1" si="542">(1-$C$4)*W211</f>
        <v>0</v>
      </c>
      <c r="R211" s="119">
        <f t="shared" ca="1" si="542"/>
        <v>0</v>
      </c>
      <c r="S211" s="20">
        <f t="shared" si="4"/>
        <v>0</v>
      </c>
      <c r="T211" s="128">
        <f t="shared" ref="T211:U211" ca="1" si="543">$S211*Q211</f>
        <v>0</v>
      </c>
      <c r="U211" s="128">
        <f t="shared" ca="1" si="543"/>
        <v>0</v>
      </c>
      <c r="W211" s="55">
        <f ca="1"/>
        <v>0</v>
      </c>
      <c r="X211" s="55">
        <f ca="1"/>
        <v>0</v>
      </c>
      <c r="Y211" s="21">
        <f>'nres bld calcs'!G203-S211</f>
        <v>0</v>
      </c>
      <c r="Z211" s="128">
        <f t="shared" ref="Z211:AA211" ca="1" si="544">$Y211*W211</f>
        <v>0</v>
      </c>
      <c r="AA211" s="128">
        <f t="shared" ca="1" si="544"/>
        <v>0</v>
      </c>
    </row>
    <row r="212" spans="14:27" ht="13.2">
      <c r="N212" s="20" t="str">
        <v>Montgomery</v>
      </c>
      <c r="O212" s="20" t="str">
        <v>outpatient</v>
      </c>
      <c r="P212" s="20" t="str">
        <v>Space_Cooling</v>
      </c>
      <c r="Q212" s="119">
        <f t="shared" ref="Q212:R212" ca="1" si="545">(1-$C$4)*W212</f>
        <v>0</v>
      </c>
      <c r="R212" s="119">
        <f t="shared" ca="1" si="545"/>
        <v>0</v>
      </c>
      <c r="S212" s="20">
        <f t="shared" si="4"/>
        <v>0</v>
      </c>
      <c r="T212" s="128">
        <f t="shared" ref="T212:U212" ca="1" si="546">$S212*Q212</f>
        <v>0</v>
      </c>
      <c r="U212" s="128">
        <f t="shared" ca="1" si="546"/>
        <v>0</v>
      </c>
      <c r="W212" s="55">
        <f ca="1"/>
        <v>0</v>
      </c>
      <c r="X212" s="55">
        <f ca="1"/>
        <v>0</v>
      </c>
      <c r="Y212" s="21">
        <f>'nres bld calcs'!G204-S212</f>
        <v>0</v>
      </c>
      <c r="Z212" s="128">
        <f t="shared" ref="Z212:AA212" ca="1" si="547">$Y212*W212</f>
        <v>0</v>
      </c>
      <c r="AA212" s="128">
        <f t="shared" ca="1" si="547"/>
        <v>0</v>
      </c>
    </row>
    <row r="213" spans="14:27" ht="13.2">
      <c r="N213" s="20" t="str">
        <v>Montgomery</v>
      </c>
      <c r="O213" s="20" t="str">
        <v>outpatient</v>
      </c>
      <c r="P213" s="20" t="str">
        <v>Space_Heating</v>
      </c>
      <c r="Q213" s="119">
        <f ca="1">IF($C$5="Yes",((1-$C$3)*X213/$G$3)+W213,(1-$C$3)*W213)</f>
        <v>0</v>
      </c>
      <c r="R213" s="119">
        <f ca="1">IF($C$5="Yes",0,(1-$C$3)*X213)</f>
        <v>0</v>
      </c>
      <c r="S213" s="20">
        <f t="shared" si="4"/>
        <v>0</v>
      </c>
      <c r="T213" s="128">
        <f t="shared" ref="T213:U213" ca="1" si="548">$S213*Q213</f>
        <v>0</v>
      </c>
      <c r="U213" s="128">
        <f t="shared" ca="1" si="548"/>
        <v>0</v>
      </c>
      <c r="W213" s="55">
        <f ca="1"/>
        <v>0</v>
      </c>
      <c r="X213" s="55">
        <f ca="1"/>
        <v>0</v>
      </c>
      <c r="Y213" s="21">
        <f>'nres bld calcs'!G205-S213</f>
        <v>0</v>
      </c>
      <c r="Z213" s="128">
        <f t="shared" ref="Z213:AA213" ca="1" si="549">$Y213*W213</f>
        <v>0</v>
      </c>
      <c r="AA213" s="128">
        <f t="shared" ca="1" si="549"/>
        <v>0</v>
      </c>
    </row>
    <row r="214" spans="14:27" ht="13.2">
      <c r="N214" s="20" t="str">
        <v>Montgomery</v>
      </c>
      <c r="O214" s="20" t="str">
        <v>outpatient</v>
      </c>
      <c r="P214" s="20" t="str">
        <v>Water_Heating</v>
      </c>
      <c r="Q214" s="119">
        <f ca="1">IF($C$6="Yes",((1-$C$4)*X214/$G$3)+W214,(1-$C$4)*W214)</f>
        <v>0</v>
      </c>
      <c r="R214" s="119">
        <f ca="1">IF($C$6="Yes",0,(1-$C$4)*X214)</f>
        <v>0</v>
      </c>
      <c r="S214" s="20">
        <f t="shared" si="4"/>
        <v>0</v>
      </c>
      <c r="T214" s="128">
        <f t="shared" ref="T214:U214" ca="1" si="550">$S214*Q214</f>
        <v>0</v>
      </c>
      <c r="U214" s="128">
        <f t="shared" ca="1" si="550"/>
        <v>0</v>
      </c>
      <c r="W214" s="55">
        <f ca="1"/>
        <v>0</v>
      </c>
      <c r="X214" s="55">
        <f ca="1"/>
        <v>0</v>
      </c>
      <c r="Y214" s="21">
        <f>'nres bld calcs'!G206-S214</f>
        <v>0</v>
      </c>
      <c r="Z214" s="128">
        <f t="shared" ref="Z214:AA214" ca="1" si="551">$Y214*W214</f>
        <v>0</v>
      </c>
      <c r="AA214" s="128">
        <f t="shared" ca="1" si="551"/>
        <v>0</v>
      </c>
    </row>
    <row r="215" spans="14:27" ht="13.2">
      <c r="N215" s="20" t="str">
        <v>Montgomery</v>
      </c>
      <c r="O215" s="20" t="str">
        <v>primaryschool</v>
      </c>
      <c r="P215" s="20" t="str">
        <v>Aux_Equip</v>
      </c>
      <c r="Q215" s="119">
        <f t="shared" ref="Q215:R215" ca="1" si="552">(1-$C$4)*W215</f>
        <v>3.4549292712659223E-3</v>
      </c>
      <c r="R215" s="119">
        <f t="shared" ca="1" si="552"/>
        <v>3.971456925869578E-3</v>
      </c>
      <c r="S215" s="20">
        <f t="shared" si="4"/>
        <v>0</v>
      </c>
      <c r="T215" s="128">
        <f t="shared" ref="T215:U215" ca="1" si="553">$S215*Q215</f>
        <v>0</v>
      </c>
      <c r="U215" s="128">
        <f t="shared" ca="1" si="553"/>
        <v>0</v>
      </c>
      <c r="W215" s="55">
        <f ca="1"/>
        <v>3.4549292712659223E-3</v>
      </c>
      <c r="X215" s="55">
        <f ca="1"/>
        <v>3.971456925869578E-3</v>
      </c>
      <c r="Y215" s="21">
        <f ca="1">'nres bld calcs'!G207-S215</f>
        <v>31099511</v>
      </c>
      <c r="Z215" s="128">
        <f t="shared" ref="Z215:AA215" ca="1" si="554">$Y215*W215</f>
        <v>107446.61087595654</v>
      </c>
      <c r="AA215" s="128">
        <f t="shared" ca="1" si="554"/>
        <v>123510.36835210712</v>
      </c>
    </row>
    <row r="216" spans="14:27" ht="13.2">
      <c r="N216" s="20" t="str">
        <v>Montgomery</v>
      </c>
      <c r="O216" s="20" t="str">
        <v>primaryschool</v>
      </c>
      <c r="P216" s="20" t="str">
        <v>Aux_Motors</v>
      </c>
      <c r="Q216" s="119">
        <f t="shared" ref="Q216:R216" ca="1" si="555">(1-$C$4)*W216</f>
        <v>1.5502033074841746E-2</v>
      </c>
      <c r="R216" s="119">
        <f t="shared" ca="1" si="555"/>
        <v>0</v>
      </c>
      <c r="S216" s="20">
        <f t="shared" si="4"/>
        <v>0</v>
      </c>
      <c r="T216" s="128">
        <f t="shared" ref="T216:U216" ca="1" si="556">$S216*Q216</f>
        <v>0</v>
      </c>
      <c r="U216" s="128">
        <f t="shared" ca="1" si="556"/>
        <v>0</v>
      </c>
      <c r="W216" s="55">
        <f ca="1"/>
        <v>1.5502033074841746E-2</v>
      </c>
      <c r="X216" s="55">
        <f ca="1"/>
        <v>0</v>
      </c>
      <c r="Y216" s="21">
        <f ca="1">'nres bld calcs'!G208-S216</f>
        <v>31099511</v>
      </c>
      <c r="Z216" s="128">
        <f t="shared" ref="Z216:AA216" ca="1" si="557">$Y216*W216</f>
        <v>482105.64813340467</v>
      </c>
      <c r="AA216" s="128">
        <f t="shared" ca="1" si="557"/>
        <v>0</v>
      </c>
    </row>
    <row r="217" spans="14:27" ht="13.2">
      <c r="N217" s="20" t="str">
        <v>Montgomery</v>
      </c>
      <c r="O217" s="20" t="str">
        <v>primaryschool</v>
      </c>
      <c r="P217" s="20" t="str">
        <v>Lighting</v>
      </c>
      <c r="Q217" s="119">
        <f t="shared" ref="Q217:R217" ca="1" si="558">(1-$C$4)*W217</f>
        <v>1.2316464079639659E-2</v>
      </c>
      <c r="R217" s="119">
        <f t="shared" ca="1" si="558"/>
        <v>0</v>
      </c>
      <c r="S217" s="20">
        <f t="shared" si="4"/>
        <v>0</v>
      </c>
      <c r="T217" s="128">
        <f t="shared" ref="T217:U217" ca="1" si="559">$S217*Q217</f>
        <v>0</v>
      </c>
      <c r="U217" s="128">
        <f t="shared" ca="1" si="559"/>
        <v>0</v>
      </c>
      <c r="W217" s="55">
        <f ca="1"/>
        <v>1.2316464079639659E-2</v>
      </c>
      <c r="X217" s="55">
        <f ca="1"/>
        <v>0</v>
      </c>
      <c r="Y217" s="21">
        <f ca="1">'nres bld calcs'!G209-S217</f>
        <v>31099511</v>
      </c>
      <c r="Z217" s="128">
        <f t="shared" ref="Z217:AA217" ca="1" si="560">$Y217*W217</f>
        <v>383036.01012585842</v>
      </c>
      <c r="AA217" s="128">
        <f t="shared" ca="1" si="560"/>
        <v>0</v>
      </c>
    </row>
    <row r="218" spans="14:27" ht="13.2">
      <c r="N218" s="20" t="str">
        <v>Montgomery</v>
      </c>
      <c r="O218" s="20" t="str">
        <v>primaryschool</v>
      </c>
      <c r="P218" s="20" t="str">
        <v>Space_Cooling</v>
      </c>
      <c r="Q218" s="119">
        <f t="shared" ref="Q218:R218" ca="1" si="561">(1-$C$4)*W218</f>
        <v>5.5108671052493197E-3</v>
      </c>
      <c r="R218" s="119">
        <f t="shared" ca="1" si="561"/>
        <v>0</v>
      </c>
      <c r="S218" s="20">
        <f t="shared" si="4"/>
        <v>0</v>
      </c>
      <c r="T218" s="128">
        <f t="shared" ref="T218:U218" ca="1" si="562">$S218*Q218</f>
        <v>0</v>
      </c>
      <c r="U218" s="128">
        <f t="shared" ca="1" si="562"/>
        <v>0</v>
      </c>
      <c r="W218" s="55">
        <f ca="1"/>
        <v>5.5108671052493197E-3</v>
      </c>
      <c r="X218" s="55">
        <f ca="1"/>
        <v>0</v>
      </c>
      <c r="Y218" s="21">
        <f ca="1">'nres bld calcs'!G210-S218</f>
        <v>31099511</v>
      </c>
      <c r="Z218" s="128">
        <f t="shared" ref="Z218:AA218" ca="1" si="563">$Y218*W218</f>
        <v>171385.27215923936</v>
      </c>
      <c r="AA218" s="128">
        <f t="shared" ca="1" si="563"/>
        <v>0</v>
      </c>
    </row>
    <row r="219" spans="14:27" ht="13.2">
      <c r="N219" s="20" t="str">
        <v>Montgomery</v>
      </c>
      <c r="O219" s="20" t="str">
        <v>primaryschool</v>
      </c>
      <c r="P219" s="20" t="str">
        <v>Space_Heating</v>
      </c>
      <c r="Q219" s="119">
        <f ca="1">IF($C$5="Yes",((1-$C$3)*X219/$G$3)+W219,(1-$C$3)*W219)</f>
        <v>1.6378316989360908E-3</v>
      </c>
      <c r="R219" s="119">
        <f ca="1">IF($C$5="Yes",0,(1-$C$3)*X219)</f>
        <v>2.0559151666389018E-2</v>
      </c>
      <c r="S219" s="20">
        <f t="shared" si="4"/>
        <v>0</v>
      </c>
      <c r="T219" s="128">
        <f t="shared" ref="T219:U219" ca="1" si="564">$S219*Q219</f>
        <v>0</v>
      </c>
      <c r="U219" s="128">
        <f t="shared" ca="1" si="564"/>
        <v>0</v>
      </c>
      <c r="W219" s="55">
        <f ca="1"/>
        <v>3.2756633978721817E-3</v>
      </c>
      <c r="X219" s="55">
        <f ca="1"/>
        <v>4.1118303332778036E-2</v>
      </c>
      <c r="Y219" s="21">
        <f ca="1">'nres bld calcs'!G211-S219</f>
        <v>31099511</v>
      </c>
      <c r="Z219" s="128">
        <f t="shared" ref="Z219:AA219" ca="1" si="565">$Y219*W219</f>
        <v>101871.52987442329</v>
      </c>
      <c r="AA219" s="128">
        <f t="shared" ca="1" si="565"/>
        <v>1278759.1267990672</v>
      </c>
    </row>
    <row r="220" spans="14:27" ht="13.2">
      <c r="N220" s="20" t="str">
        <v>Montgomery</v>
      </c>
      <c r="O220" s="20" t="str">
        <v>primaryschool</v>
      </c>
      <c r="P220" s="20" t="str">
        <v>Water_Heating</v>
      </c>
      <c r="Q220" s="119">
        <f ca="1">IF($C$6="Yes",((1-$C$4)*X220/$G$3)+W220,(1-$C$4)*W220)</f>
        <v>2.7178034565905054E-3</v>
      </c>
      <c r="R220" s="119">
        <f ca="1">IF($C$6="Yes",0,(1-$C$4)*X220)</f>
        <v>2.3682887400583684E-3</v>
      </c>
      <c r="S220" s="20">
        <f t="shared" si="4"/>
        <v>0</v>
      </c>
      <c r="T220" s="128">
        <f t="shared" ref="T220:U220" ca="1" si="566">$S220*Q220</f>
        <v>0</v>
      </c>
      <c r="U220" s="128">
        <f t="shared" ca="1" si="566"/>
        <v>0</v>
      </c>
      <c r="W220" s="55">
        <f ca="1"/>
        <v>2.7178034565905054E-3</v>
      </c>
      <c r="X220" s="55">
        <f ca="1"/>
        <v>2.3682887400583684E-3</v>
      </c>
      <c r="Y220" s="21">
        <f ca="1">'nres bld calcs'!G212-S220</f>
        <v>31099511</v>
      </c>
      <c r="Z220" s="128">
        <f t="shared" ref="Z220:AA220" ca="1" si="567">$Y220*W220</f>
        <v>84522.358494074448</v>
      </c>
      <c r="AA220" s="128">
        <f t="shared" ca="1" si="567"/>
        <v>73652.621722621363</v>
      </c>
    </row>
    <row r="221" spans="14:27" ht="13.2">
      <c r="N221" s="20" t="str">
        <v>Montgomery</v>
      </c>
      <c r="O221" s="20" t="str">
        <v>quickservicerestaurant</v>
      </c>
      <c r="P221" s="20" t="str">
        <v>Aux_Equip</v>
      </c>
      <c r="Q221" s="119">
        <f t="shared" ref="Q221:R221" ca="1" si="568">(1-$C$4)*W221</f>
        <v>1.3417967940917978E-2</v>
      </c>
      <c r="R221" s="119">
        <f t="shared" ca="1" si="568"/>
        <v>2.8620271320747442E-2</v>
      </c>
      <c r="S221" s="20">
        <f t="shared" si="4"/>
        <v>0</v>
      </c>
      <c r="T221" s="128">
        <f t="shared" ref="T221:U221" ca="1" si="569">$S221*Q221</f>
        <v>0</v>
      </c>
      <c r="U221" s="128">
        <f t="shared" ca="1" si="569"/>
        <v>0</v>
      </c>
      <c r="W221" s="55">
        <f ca="1"/>
        <v>1.3417967940917978E-2</v>
      </c>
      <c r="X221" s="55">
        <f ca="1"/>
        <v>2.8620271320747442E-2</v>
      </c>
      <c r="Y221" s="21">
        <f ca="1">'nres bld calcs'!G213-S221</f>
        <v>617494</v>
      </c>
      <c r="Z221" s="128">
        <f t="shared" ref="Z221:AA221" ca="1" si="570">$Y221*W221</f>
        <v>8285.5146957092056</v>
      </c>
      <c r="AA221" s="128">
        <f t="shared" ca="1" si="570"/>
        <v>17672.84581893362</v>
      </c>
    </row>
    <row r="222" spans="14:27" ht="13.2">
      <c r="N222" s="20" t="str">
        <v>Montgomery</v>
      </c>
      <c r="O222" s="20" t="str">
        <v>quickservicerestaurant</v>
      </c>
      <c r="P222" s="20" t="str">
        <v>Aux_Motors</v>
      </c>
      <c r="Q222" s="119">
        <f t="shared" ref="Q222:R222" ca="1" si="571">(1-$C$4)*W222</f>
        <v>1.5146242511206044E-2</v>
      </c>
      <c r="R222" s="119">
        <f t="shared" ca="1" si="571"/>
        <v>0</v>
      </c>
      <c r="S222" s="20">
        <f t="shared" si="4"/>
        <v>0</v>
      </c>
      <c r="T222" s="128">
        <f t="shared" ref="T222:U222" ca="1" si="572">$S222*Q222</f>
        <v>0</v>
      </c>
      <c r="U222" s="128">
        <f t="shared" ca="1" si="572"/>
        <v>0</v>
      </c>
      <c r="W222" s="55">
        <f ca="1"/>
        <v>1.5146242511206044E-2</v>
      </c>
      <c r="X222" s="55">
        <f ca="1"/>
        <v>0</v>
      </c>
      <c r="Y222" s="21">
        <f ca="1">'nres bld calcs'!G214-S222</f>
        <v>617494</v>
      </c>
      <c r="Z222" s="128">
        <f t="shared" ref="Z222:AA222" ca="1" si="573">$Y222*W222</f>
        <v>9352.713873214665</v>
      </c>
      <c r="AA222" s="128">
        <f t="shared" ca="1" si="573"/>
        <v>0</v>
      </c>
    </row>
    <row r="223" spans="14:27" ht="13.2">
      <c r="N223" s="20" t="str">
        <v>Montgomery</v>
      </c>
      <c r="O223" s="20" t="str">
        <v>quickservicerestaurant</v>
      </c>
      <c r="P223" s="20" t="str">
        <v>Lighting</v>
      </c>
      <c r="Q223" s="119">
        <f t="shared" ref="Q223:R223" ca="1" si="574">(1-$C$4)*W223</f>
        <v>7.3088558506303955E-3</v>
      </c>
      <c r="R223" s="119">
        <f t="shared" ca="1" si="574"/>
        <v>0</v>
      </c>
      <c r="S223" s="20">
        <f t="shared" si="4"/>
        <v>0</v>
      </c>
      <c r="T223" s="128">
        <f t="shared" ref="T223:U223" ca="1" si="575">$S223*Q223</f>
        <v>0</v>
      </c>
      <c r="U223" s="128">
        <f t="shared" ca="1" si="575"/>
        <v>0</v>
      </c>
      <c r="W223" s="55">
        <f ca="1"/>
        <v>7.3088558506303955E-3</v>
      </c>
      <c r="X223" s="55">
        <f ca="1"/>
        <v>0</v>
      </c>
      <c r="Y223" s="21">
        <f ca="1">'nres bld calcs'!G215-S223</f>
        <v>617494</v>
      </c>
      <c r="Z223" s="128">
        <f t="shared" ref="Z223:AA223" ca="1" si="576">$Y223*W223</f>
        <v>4513.1746346291657</v>
      </c>
      <c r="AA223" s="128">
        <f t="shared" ca="1" si="576"/>
        <v>0</v>
      </c>
    </row>
    <row r="224" spans="14:27" ht="13.2">
      <c r="N224" s="20" t="str">
        <v>Montgomery</v>
      </c>
      <c r="O224" s="20" t="str">
        <v>quickservicerestaurant</v>
      </c>
      <c r="P224" s="20" t="str">
        <v>Space_Cooling</v>
      </c>
      <c r="Q224" s="119">
        <f t="shared" ref="Q224:R224" ca="1" si="577">(1-$C$4)*W224</f>
        <v>4.4873265422789898E-3</v>
      </c>
      <c r="R224" s="119">
        <f t="shared" ca="1" si="577"/>
        <v>0</v>
      </c>
      <c r="S224" s="20">
        <f t="shared" si="4"/>
        <v>0</v>
      </c>
      <c r="T224" s="128">
        <f t="shared" ref="T224:U224" ca="1" si="578">$S224*Q224</f>
        <v>0</v>
      </c>
      <c r="U224" s="128">
        <f t="shared" ca="1" si="578"/>
        <v>0</v>
      </c>
      <c r="W224" s="55">
        <f ca="1"/>
        <v>4.4873265422789898E-3</v>
      </c>
      <c r="X224" s="55">
        <f ca="1"/>
        <v>0</v>
      </c>
      <c r="Y224" s="21">
        <f ca="1">'nres bld calcs'!G216-S224</f>
        <v>617494</v>
      </c>
      <c r="Z224" s="128">
        <f t="shared" ref="Z224:AA224" ca="1" si="579">$Y224*W224</f>
        <v>2770.8972158980223</v>
      </c>
      <c r="AA224" s="128">
        <f t="shared" ca="1" si="579"/>
        <v>0</v>
      </c>
    </row>
    <row r="225" spans="14:27" ht="13.2">
      <c r="N225" s="20" t="str">
        <v>Montgomery</v>
      </c>
      <c r="O225" s="20" t="str">
        <v>quickservicerestaurant</v>
      </c>
      <c r="P225" s="20" t="str">
        <v>Space_Heating</v>
      </c>
      <c r="Q225" s="119">
        <f ca="1">IF($C$5="Yes",((1-$C$3)*X225/$G$3)+W225,(1-$C$3)*W225)</f>
        <v>7.867504458811971E-4</v>
      </c>
      <c r="R225" s="119">
        <f ca="1">IF($C$5="Yes",0,(1-$C$3)*X225)</f>
        <v>7.721814248750976E-3</v>
      </c>
      <c r="S225" s="20">
        <f t="shared" si="4"/>
        <v>0</v>
      </c>
      <c r="T225" s="128">
        <f t="shared" ref="T225:U225" ca="1" si="580">$S225*Q225</f>
        <v>0</v>
      </c>
      <c r="U225" s="128">
        <f t="shared" ca="1" si="580"/>
        <v>0</v>
      </c>
      <c r="W225" s="55">
        <f ca="1"/>
        <v>1.5735008917623942E-3</v>
      </c>
      <c r="X225" s="55">
        <f ca="1"/>
        <v>1.5443628497501952E-2</v>
      </c>
      <c r="Y225" s="21">
        <f ca="1">'nres bld calcs'!G217-S225</f>
        <v>617494</v>
      </c>
      <c r="Z225" s="128">
        <f t="shared" ref="Z225:AA225" ca="1" si="581">$Y225*W225</f>
        <v>971.62735965792785</v>
      </c>
      <c r="AA225" s="128">
        <f t="shared" ca="1" si="581"/>
        <v>9536.3479354364699</v>
      </c>
    </row>
    <row r="226" spans="14:27" ht="13.2">
      <c r="N226" s="20" t="str">
        <v>Montgomery</v>
      </c>
      <c r="O226" s="20" t="str">
        <v>quickservicerestaurant</v>
      </c>
      <c r="P226" s="20" t="str">
        <v>Water_Heating</v>
      </c>
      <c r="Q226" s="119">
        <f ca="1">IF($C$6="Yes",((1-$C$4)*X226/$G$3)+W226,(1-$C$4)*W226)</f>
        <v>8.4386664866353519E-4</v>
      </c>
      <c r="R226" s="119">
        <f ca="1">IF($C$6="Yes",0,(1-$C$4)*X226)</f>
        <v>3.3941491804565928E-3</v>
      </c>
      <c r="S226" s="20">
        <f t="shared" si="4"/>
        <v>0</v>
      </c>
      <c r="T226" s="128">
        <f t="shared" ref="T226:U226" ca="1" si="582">$S226*Q226</f>
        <v>0</v>
      </c>
      <c r="U226" s="128">
        <f t="shared" ca="1" si="582"/>
        <v>0</v>
      </c>
      <c r="W226" s="55">
        <f ca="1"/>
        <v>8.4386664866353519E-4</v>
      </c>
      <c r="X226" s="55">
        <f ca="1"/>
        <v>3.3941491804565928E-3</v>
      </c>
      <c r="Y226" s="21">
        <f ca="1">'nres bld calcs'!G218-S226</f>
        <v>617494</v>
      </c>
      <c r="Z226" s="128">
        <f t="shared" ref="Z226:AA226" ca="1" si="583">$Y226*W226</f>
        <v>521.08259234984098</v>
      </c>
      <c r="AA226" s="128">
        <f t="shared" ca="1" si="583"/>
        <v>2095.8667540368633</v>
      </c>
    </row>
    <row r="227" spans="14:27" ht="13.2">
      <c r="N227" s="20" t="str">
        <v>Montgomery</v>
      </c>
      <c r="O227" s="20" t="str">
        <v>retailstandalone</v>
      </c>
      <c r="P227" s="20" t="str">
        <v>Aux_Equip</v>
      </c>
      <c r="Q227" s="119">
        <f t="shared" ref="Q227:R227" ca="1" si="584">(1-$C$4)*W227</f>
        <v>5.2436821057177683E-3</v>
      </c>
      <c r="R227" s="119">
        <f t="shared" ca="1" si="584"/>
        <v>0</v>
      </c>
      <c r="S227" s="20">
        <f t="shared" si="4"/>
        <v>0</v>
      </c>
      <c r="T227" s="128">
        <f t="shared" ref="T227:U227" ca="1" si="585">$S227*Q227</f>
        <v>0</v>
      </c>
      <c r="U227" s="128">
        <f t="shared" ca="1" si="585"/>
        <v>0</v>
      </c>
      <c r="W227" s="55">
        <f ca="1"/>
        <v>5.2436821057177683E-3</v>
      </c>
      <c r="X227" s="55">
        <f ca="1"/>
        <v>0</v>
      </c>
      <c r="Y227" s="21">
        <f ca="1">'nres bld calcs'!G219-S227</f>
        <v>70849917</v>
      </c>
      <c r="Z227" s="128">
        <f t="shared" ref="Z227:AA227" ca="1" si="586">$Y227*W227</f>
        <v>371514.44196448912</v>
      </c>
      <c r="AA227" s="128">
        <f t="shared" ca="1" si="586"/>
        <v>0</v>
      </c>
    </row>
    <row r="228" spans="14:27" ht="13.2">
      <c r="N228" s="20" t="str">
        <v>Montgomery</v>
      </c>
      <c r="O228" s="20" t="str">
        <v>retailstandalone</v>
      </c>
      <c r="P228" s="20" t="str">
        <v>Aux_Motors</v>
      </c>
      <c r="Q228" s="119">
        <f t="shared" ref="Q228:R228" ca="1" si="587">(1-$C$4)*W228</f>
        <v>8.1890064524388489E-3</v>
      </c>
      <c r="R228" s="119">
        <f t="shared" ca="1" si="587"/>
        <v>0</v>
      </c>
      <c r="S228" s="20">
        <f t="shared" si="4"/>
        <v>0</v>
      </c>
      <c r="T228" s="128">
        <f t="shared" ref="T228:U228" ca="1" si="588">$S228*Q228</f>
        <v>0</v>
      </c>
      <c r="U228" s="128">
        <f t="shared" ca="1" si="588"/>
        <v>0</v>
      </c>
      <c r="W228" s="55">
        <f ca="1"/>
        <v>8.1890064524388489E-3</v>
      </c>
      <c r="X228" s="55">
        <f ca="1"/>
        <v>0</v>
      </c>
      <c r="Y228" s="21">
        <f ca="1">'nres bld calcs'!G220-S228</f>
        <v>70849917</v>
      </c>
      <c r="Z228" s="128">
        <f t="shared" ref="Z228:AA228" ca="1" si="589">$Y228*W228</f>
        <v>580190.4274677569</v>
      </c>
      <c r="AA228" s="128">
        <f t="shared" ca="1" si="589"/>
        <v>0</v>
      </c>
    </row>
    <row r="229" spans="14:27" ht="13.2">
      <c r="N229" s="20" t="str">
        <v>Montgomery</v>
      </c>
      <c r="O229" s="20" t="str">
        <v>retailstandalone</v>
      </c>
      <c r="P229" s="20" t="str">
        <v>Lighting</v>
      </c>
      <c r="Q229" s="119">
        <f t="shared" ref="Q229:R229" ca="1" si="590">(1-$C$4)*W229</f>
        <v>2.2801954428538159E-2</v>
      </c>
      <c r="R229" s="119">
        <f t="shared" ca="1" si="590"/>
        <v>0</v>
      </c>
      <c r="S229" s="20">
        <f t="shared" si="4"/>
        <v>0</v>
      </c>
      <c r="T229" s="128">
        <f t="shared" ref="T229:U229" ca="1" si="591">$S229*Q229</f>
        <v>0</v>
      </c>
      <c r="U229" s="128">
        <f t="shared" ca="1" si="591"/>
        <v>0</v>
      </c>
      <c r="W229" s="55">
        <f ca="1"/>
        <v>2.2801954428538159E-2</v>
      </c>
      <c r="X229" s="55">
        <f ca="1"/>
        <v>0</v>
      </c>
      <c r="Y229" s="21">
        <f ca="1">'nres bld calcs'!G221-S229</f>
        <v>70849917</v>
      </c>
      <c r="Z229" s="128">
        <f t="shared" ref="Z229:AA229" ca="1" si="592">$Y229*W229</f>
        <v>1615516.578699711</v>
      </c>
      <c r="AA229" s="128">
        <f t="shared" ca="1" si="592"/>
        <v>0</v>
      </c>
    </row>
    <row r="230" spans="14:27" ht="13.2">
      <c r="N230" s="20" t="str">
        <v>Montgomery</v>
      </c>
      <c r="O230" s="20" t="str">
        <v>retailstandalone</v>
      </c>
      <c r="P230" s="20" t="str">
        <v>Space_Cooling</v>
      </c>
      <c r="Q230" s="119">
        <f t="shared" ref="Q230:R230" ca="1" si="593">(1-$C$4)*W230</f>
        <v>4.5864869998202083E-3</v>
      </c>
      <c r="R230" s="119">
        <f t="shared" ca="1" si="593"/>
        <v>0</v>
      </c>
      <c r="S230" s="20">
        <f t="shared" si="4"/>
        <v>0</v>
      </c>
      <c r="T230" s="128">
        <f t="shared" ref="T230:U230" ca="1" si="594">$S230*Q230</f>
        <v>0</v>
      </c>
      <c r="U230" s="128">
        <f t="shared" ca="1" si="594"/>
        <v>0</v>
      </c>
      <c r="W230" s="55">
        <f ca="1"/>
        <v>4.5864869998202083E-3</v>
      </c>
      <c r="X230" s="55">
        <f ca="1"/>
        <v>0</v>
      </c>
      <c r="Y230" s="21">
        <f ca="1">'nres bld calcs'!G222-S230</f>
        <v>70849917</v>
      </c>
      <c r="Z230" s="128">
        <f t="shared" ref="Z230:AA230" ca="1" si="595">$Y230*W230</f>
        <v>324952.22325884079</v>
      </c>
      <c r="AA230" s="128">
        <f t="shared" ca="1" si="595"/>
        <v>0</v>
      </c>
    </row>
    <row r="231" spans="14:27" ht="13.2">
      <c r="N231" s="20" t="str">
        <v>Montgomery</v>
      </c>
      <c r="O231" s="20" t="str">
        <v>retailstandalone</v>
      </c>
      <c r="P231" s="20" t="str">
        <v>Space_Heating</v>
      </c>
      <c r="Q231" s="119">
        <f ca="1">IF($C$5="Yes",((1-$C$3)*X231/$G$3)+W231,(1-$C$3)*W231)</f>
        <v>9.7831519947217359E-4</v>
      </c>
      <c r="R231" s="119">
        <f ca="1">IF($C$5="Yes",0,(1-$C$3)*X231)</f>
        <v>2.3729024499352994E-2</v>
      </c>
      <c r="S231" s="20">
        <f t="shared" si="4"/>
        <v>0</v>
      </c>
      <c r="T231" s="128">
        <f t="shared" ref="T231:U231" ca="1" si="596">$S231*Q231</f>
        <v>0</v>
      </c>
      <c r="U231" s="128">
        <f t="shared" ca="1" si="596"/>
        <v>0</v>
      </c>
      <c r="W231" s="55">
        <f ca="1"/>
        <v>1.9566303989443472E-3</v>
      </c>
      <c r="X231" s="55">
        <f ca="1"/>
        <v>4.7458048998705989E-2</v>
      </c>
      <c r="Y231" s="21">
        <f ca="1">'nres bld calcs'!G223-S231</f>
        <v>70849917</v>
      </c>
      <c r="Z231" s="128">
        <f t="shared" ref="Z231:AA231" ca="1" si="597">$Y231*W231</f>
        <v>138627.10136488389</v>
      </c>
      <c r="AA231" s="128">
        <f t="shared" ca="1" si="597"/>
        <v>3362398.8325402522</v>
      </c>
    </row>
    <row r="232" spans="14:27" ht="13.2">
      <c r="N232" s="20" t="str">
        <v>Montgomery</v>
      </c>
      <c r="O232" s="20" t="str">
        <v>retailstandalone</v>
      </c>
      <c r="P232" s="20" t="str">
        <v>Water_Heating</v>
      </c>
      <c r="Q232" s="119">
        <f ca="1">IF($C$6="Yes",((1-$C$4)*X232/$G$3)+W232,(1-$C$4)*W232)</f>
        <v>0</v>
      </c>
      <c r="R232" s="119">
        <f ca="1">IF($C$6="Yes",0,(1-$C$4)*X232)</f>
        <v>0</v>
      </c>
      <c r="S232" s="20">
        <f t="shared" si="4"/>
        <v>0</v>
      </c>
      <c r="T232" s="128">
        <f t="shared" ref="T232:U232" ca="1" si="598">$S232*Q232</f>
        <v>0</v>
      </c>
      <c r="U232" s="128">
        <f t="shared" ca="1" si="598"/>
        <v>0</v>
      </c>
      <c r="W232" s="55">
        <f ca="1"/>
        <v>0</v>
      </c>
      <c r="X232" s="55">
        <f ca="1"/>
        <v>0</v>
      </c>
      <c r="Y232" s="21">
        <f ca="1">'nres bld calcs'!G224-S232</f>
        <v>70849917</v>
      </c>
      <c r="Z232" s="128">
        <f t="shared" ref="Z232:AA232" ca="1" si="599">$Y232*W232</f>
        <v>0</v>
      </c>
      <c r="AA232" s="128">
        <f t="shared" ca="1" si="599"/>
        <v>0</v>
      </c>
    </row>
    <row r="233" spans="14:27" ht="13.2">
      <c r="N233" s="20" t="str">
        <v>Montgomery</v>
      </c>
      <c r="O233" s="20" t="str">
        <v>retailstripmall</v>
      </c>
      <c r="P233" s="20" t="str">
        <v>Aux_Equip</v>
      </c>
      <c r="Q233" s="119">
        <f t="shared" ref="Q233:R233" ca="1" si="600">(1-$C$4)*W233</f>
        <v>0</v>
      </c>
      <c r="R233" s="119">
        <f t="shared" ca="1" si="600"/>
        <v>0</v>
      </c>
      <c r="S233" s="20">
        <f t="shared" si="4"/>
        <v>0</v>
      </c>
      <c r="T233" s="128">
        <f t="shared" ref="T233:U233" ca="1" si="601">$S233*Q233</f>
        <v>0</v>
      </c>
      <c r="U233" s="128">
        <f t="shared" ca="1" si="601"/>
        <v>0</v>
      </c>
      <c r="W233" s="55">
        <f ca="1"/>
        <v>0</v>
      </c>
      <c r="X233" s="55">
        <f ca="1"/>
        <v>0</v>
      </c>
      <c r="Y233" s="21">
        <f>'nres bld calcs'!G225-S233</f>
        <v>0</v>
      </c>
      <c r="Z233" s="128">
        <f t="shared" ref="Z233:AA233" ca="1" si="602">$Y233*W233</f>
        <v>0</v>
      </c>
      <c r="AA233" s="128">
        <f t="shared" ca="1" si="602"/>
        <v>0</v>
      </c>
    </row>
    <row r="234" spans="14:27" ht="13.2">
      <c r="N234" s="20" t="str">
        <v>Montgomery</v>
      </c>
      <c r="O234" s="20" t="str">
        <v>retailstripmall</v>
      </c>
      <c r="P234" s="20" t="str">
        <v>Aux_Motors</v>
      </c>
      <c r="Q234" s="119">
        <f t="shared" ref="Q234:R234" ca="1" si="603">(1-$C$4)*W234</f>
        <v>0</v>
      </c>
      <c r="R234" s="119">
        <f t="shared" ca="1" si="603"/>
        <v>0</v>
      </c>
      <c r="S234" s="20">
        <f t="shared" si="4"/>
        <v>0</v>
      </c>
      <c r="T234" s="128">
        <f t="shared" ref="T234:U234" ca="1" si="604">$S234*Q234</f>
        <v>0</v>
      </c>
      <c r="U234" s="128">
        <f t="shared" ca="1" si="604"/>
        <v>0</v>
      </c>
      <c r="W234" s="55">
        <f ca="1"/>
        <v>0</v>
      </c>
      <c r="X234" s="55">
        <f ca="1"/>
        <v>0</v>
      </c>
      <c r="Y234" s="21">
        <f>'nres bld calcs'!G226-S234</f>
        <v>0</v>
      </c>
      <c r="Z234" s="128">
        <f t="shared" ref="Z234:AA234" ca="1" si="605">$Y234*W234</f>
        <v>0</v>
      </c>
      <c r="AA234" s="128">
        <f t="shared" ca="1" si="605"/>
        <v>0</v>
      </c>
    </row>
    <row r="235" spans="14:27" ht="13.2">
      <c r="N235" s="20" t="str">
        <v>Montgomery</v>
      </c>
      <c r="O235" s="20" t="str">
        <v>retailstripmall</v>
      </c>
      <c r="P235" s="20" t="str">
        <v>Lighting</v>
      </c>
      <c r="Q235" s="119">
        <f t="shared" ref="Q235:R235" ca="1" si="606">(1-$C$4)*W235</f>
        <v>0</v>
      </c>
      <c r="R235" s="119">
        <f t="shared" ca="1" si="606"/>
        <v>0</v>
      </c>
      <c r="S235" s="20">
        <f t="shared" si="4"/>
        <v>0</v>
      </c>
      <c r="T235" s="128">
        <f t="shared" ref="T235:U235" ca="1" si="607">$S235*Q235</f>
        <v>0</v>
      </c>
      <c r="U235" s="128">
        <f t="shared" ca="1" si="607"/>
        <v>0</v>
      </c>
      <c r="W235" s="55">
        <f ca="1"/>
        <v>0</v>
      </c>
      <c r="X235" s="55">
        <f ca="1"/>
        <v>0</v>
      </c>
      <c r="Y235" s="21">
        <f>'nres bld calcs'!G227-S235</f>
        <v>0</v>
      </c>
      <c r="Z235" s="128">
        <f t="shared" ref="Z235:AA235" ca="1" si="608">$Y235*W235</f>
        <v>0</v>
      </c>
      <c r="AA235" s="128">
        <f t="shared" ca="1" si="608"/>
        <v>0</v>
      </c>
    </row>
    <row r="236" spans="14:27" ht="13.2">
      <c r="N236" s="20" t="str">
        <v>Montgomery</v>
      </c>
      <c r="O236" s="20" t="str">
        <v>retailstripmall</v>
      </c>
      <c r="P236" s="20" t="str">
        <v>Space_Cooling</v>
      </c>
      <c r="Q236" s="119">
        <f t="shared" ref="Q236:R236" ca="1" si="609">(1-$C$4)*W236</f>
        <v>0</v>
      </c>
      <c r="R236" s="119">
        <f t="shared" ca="1" si="609"/>
        <v>0</v>
      </c>
      <c r="S236" s="20">
        <f t="shared" si="4"/>
        <v>0</v>
      </c>
      <c r="T236" s="128">
        <f t="shared" ref="T236:U236" ca="1" si="610">$S236*Q236</f>
        <v>0</v>
      </c>
      <c r="U236" s="128">
        <f t="shared" ca="1" si="610"/>
        <v>0</v>
      </c>
      <c r="W236" s="55">
        <f ca="1"/>
        <v>0</v>
      </c>
      <c r="X236" s="55">
        <f ca="1"/>
        <v>0</v>
      </c>
      <c r="Y236" s="21">
        <f>'nres bld calcs'!G228-S236</f>
        <v>0</v>
      </c>
      <c r="Z236" s="128">
        <f t="shared" ref="Z236:AA236" ca="1" si="611">$Y236*W236</f>
        <v>0</v>
      </c>
      <c r="AA236" s="128">
        <f t="shared" ca="1" si="611"/>
        <v>0</v>
      </c>
    </row>
    <row r="237" spans="14:27" ht="13.2">
      <c r="N237" s="20" t="str">
        <v>Montgomery</v>
      </c>
      <c r="O237" s="20" t="str">
        <v>retailstripmall</v>
      </c>
      <c r="P237" s="20" t="str">
        <v>Space_Heating</v>
      </c>
      <c r="Q237" s="119">
        <f ca="1">IF($C$5="Yes",((1-$C$3)*X237/$G$3)+W237,(1-$C$3)*W237)</f>
        <v>0</v>
      </c>
      <c r="R237" s="119">
        <f ca="1">IF($C$5="Yes",0,(1-$C$3)*X237)</f>
        <v>0</v>
      </c>
      <c r="S237" s="20">
        <f t="shared" si="4"/>
        <v>0</v>
      </c>
      <c r="T237" s="128">
        <f t="shared" ref="T237:U237" ca="1" si="612">$S237*Q237</f>
        <v>0</v>
      </c>
      <c r="U237" s="128">
        <f t="shared" ca="1" si="612"/>
        <v>0</v>
      </c>
      <c r="W237" s="55">
        <f ca="1"/>
        <v>0</v>
      </c>
      <c r="X237" s="55">
        <f ca="1"/>
        <v>0</v>
      </c>
      <c r="Y237" s="21">
        <f>'nres bld calcs'!G229-S237</f>
        <v>0</v>
      </c>
      <c r="Z237" s="128">
        <f t="shared" ref="Z237:AA237" ca="1" si="613">$Y237*W237</f>
        <v>0</v>
      </c>
      <c r="AA237" s="128">
        <f t="shared" ca="1" si="613"/>
        <v>0</v>
      </c>
    </row>
    <row r="238" spans="14:27" ht="13.2">
      <c r="N238" s="20" t="str">
        <v>Montgomery</v>
      </c>
      <c r="O238" s="20" t="str">
        <v>retailstripmall</v>
      </c>
      <c r="P238" s="20" t="str">
        <v>Water_Heating</v>
      </c>
      <c r="Q238" s="119">
        <f ca="1">IF($C$6="Yes",((1-$C$4)*X238/$G$3)+W238,(1-$C$4)*W238)</f>
        <v>0</v>
      </c>
      <c r="R238" s="119">
        <f ca="1">IF($C$6="Yes",0,(1-$C$4)*X238)</f>
        <v>0</v>
      </c>
      <c r="S238" s="20">
        <f t="shared" si="4"/>
        <v>0</v>
      </c>
      <c r="T238" s="128">
        <f t="shared" ref="T238:U238" ca="1" si="614">$S238*Q238</f>
        <v>0</v>
      </c>
      <c r="U238" s="128">
        <f t="shared" ca="1" si="614"/>
        <v>0</v>
      </c>
      <c r="W238" s="55">
        <f ca="1"/>
        <v>0</v>
      </c>
      <c r="X238" s="55">
        <f ca="1"/>
        <v>0</v>
      </c>
      <c r="Y238" s="21">
        <f>'nres bld calcs'!G230-S238</f>
        <v>0</v>
      </c>
      <c r="Z238" s="128">
        <f t="shared" ref="Z238:AA238" ca="1" si="615">$Y238*W238</f>
        <v>0</v>
      </c>
      <c r="AA238" s="128">
        <f t="shared" ca="1" si="615"/>
        <v>0</v>
      </c>
    </row>
    <row r="239" spans="14:27" ht="13.2">
      <c r="N239" s="20" t="str">
        <v>Montgomery</v>
      </c>
      <c r="O239" s="20" t="str">
        <v>secondaryschool</v>
      </c>
      <c r="P239" s="20" t="str">
        <v>Aux_Equip</v>
      </c>
      <c r="Q239" s="119">
        <f t="shared" ref="Q239:R239" ca="1" si="616">(1-$C$4)*W239</f>
        <v>0</v>
      </c>
      <c r="R239" s="119">
        <f t="shared" ca="1" si="616"/>
        <v>0</v>
      </c>
      <c r="S239" s="20">
        <f t="shared" si="4"/>
        <v>0</v>
      </c>
      <c r="T239" s="128">
        <f t="shared" ref="T239:U239" ca="1" si="617">$S239*Q239</f>
        <v>0</v>
      </c>
      <c r="U239" s="128">
        <f t="shared" ca="1" si="617"/>
        <v>0</v>
      </c>
      <c r="W239" s="55">
        <f ca="1"/>
        <v>0</v>
      </c>
      <c r="X239" s="55">
        <f ca="1"/>
        <v>0</v>
      </c>
      <c r="Y239" s="21">
        <f>'nres bld calcs'!G231-S239</f>
        <v>0</v>
      </c>
      <c r="Z239" s="128">
        <f t="shared" ref="Z239:AA239" ca="1" si="618">$Y239*W239</f>
        <v>0</v>
      </c>
      <c r="AA239" s="128">
        <f t="shared" ca="1" si="618"/>
        <v>0</v>
      </c>
    </row>
    <row r="240" spans="14:27" ht="13.2">
      <c r="N240" s="20" t="str">
        <v>Montgomery</v>
      </c>
      <c r="O240" s="20" t="str">
        <v>secondaryschool</v>
      </c>
      <c r="P240" s="20" t="str">
        <v>Aux_Motors</v>
      </c>
      <c r="Q240" s="119">
        <f t="shared" ref="Q240:R240" ca="1" si="619">(1-$C$4)*W240</f>
        <v>0</v>
      </c>
      <c r="R240" s="119">
        <f t="shared" ca="1" si="619"/>
        <v>0</v>
      </c>
      <c r="S240" s="20">
        <f t="shared" si="4"/>
        <v>0</v>
      </c>
      <c r="T240" s="128">
        <f t="shared" ref="T240:U240" ca="1" si="620">$S240*Q240</f>
        <v>0</v>
      </c>
      <c r="U240" s="128">
        <f t="shared" ca="1" si="620"/>
        <v>0</v>
      </c>
      <c r="W240" s="55">
        <f ca="1"/>
        <v>0</v>
      </c>
      <c r="X240" s="55">
        <f ca="1"/>
        <v>0</v>
      </c>
      <c r="Y240" s="21">
        <f>'nres bld calcs'!G232-S240</f>
        <v>0</v>
      </c>
      <c r="Z240" s="128">
        <f t="shared" ref="Z240:AA240" ca="1" si="621">$Y240*W240</f>
        <v>0</v>
      </c>
      <c r="AA240" s="128">
        <f t="shared" ca="1" si="621"/>
        <v>0</v>
      </c>
    </row>
    <row r="241" spans="14:27" ht="13.2">
      <c r="N241" s="20" t="str">
        <v>Montgomery</v>
      </c>
      <c r="O241" s="20" t="str">
        <v>secondaryschool</v>
      </c>
      <c r="P241" s="20" t="str">
        <v>Lighting</v>
      </c>
      <c r="Q241" s="119">
        <f t="shared" ref="Q241:R241" ca="1" si="622">(1-$C$4)*W241</f>
        <v>0</v>
      </c>
      <c r="R241" s="119">
        <f t="shared" ca="1" si="622"/>
        <v>0</v>
      </c>
      <c r="S241" s="20">
        <f t="shared" si="4"/>
        <v>0</v>
      </c>
      <c r="T241" s="128">
        <f t="shared" ref="T241:U241" ca="1" si="623">$S241*Q241</f>
        <v>0</v>
      </c>
      <c r="U241" s="128">
        <f t="shared" ca="1" si="623"/>
        <v>0</v>
      </c>
      <c r="W241" s="55">
        <f ca="1"/>
        <v>0</v>
      </c>
      <c r="X241" s="55">
        <f ca="1"/>
        <v>0</v>
      </c>
      <c r="Y241" s="21">
        <f>'nres bld calcs'!G233-S241</f>
        <v>0</v>
      </c>
      <c r="Z241" s="128">
        <f t="shared" ref="Z241:AA241" ca="1" si="624">$Y241*W241</f>
        <v>0</v>
      </c>
      <c r="AA241" s="128">
        <f t="shared" ca="1" si="624"/>
        <v>0</v>
      </c>
    </row>
    <row r="242" spans="14:27" ht="13.2">
      <c r="N242" s="20" t="str">
        <v>Montgomery</v>
      </c>
      <c r="O242" s="20" t="str">
        <v>secondaryschool</v>
      </c>
      <c r="P242" s="20" t="str">
        <v>Space_Cooling</v>
      </c>
      <c r="Q242" s="119">
        <f t="shared" ref="Q242:R242" ca="1" si="625">(1-$C$4)*W242</f>
        <v>0</v>
      </c>
      <c r="R242" s="119">
        <f t="shared" ca="1" si="625"/>
        <v>0</v>
      </c>
      <c r="S242" s="20">
        <f t="shared" si="4"/>
        <v>0</v>
      </c>
      <c r="T242" s="128">
        <f t="shared" ref="T242:U242" ca="1" si="626">$S242*Q242</f>
        <v>0</v>
      </c>
      <c r="U242" s="128">
        <f t="shared" ca="1" si="626"/>
        <v>0</v>
      </c>
      <c r="W242" s="55">
        <f ca="1"/>
        <v>0</v>
      </c>
      <c r="X242" s="55">
        <f ca="1"/>
        <v>0</v>
      </c>
      <c r="Y242" s="21">
        <f>'nres bld calcs'!G234-S242</f>
        <v>0</v>
      </c>
      <c r="Z242" s="128">
        <f t="shared" ref="Z242:AA242" ca="1" si="627">$Y242*W242</f>
        <v>0</v>
      </c>
      <c r="AA242" s="128">
        <f t="shared" ca="1" si="627"/>
        <v>0</v>
      </c>
    </row>
    <row r="243" spans="14:27" ht="13.2">
      <c r="N243" s="20" t="str">
        <v>Montgomery</v>
      </c>
      <c r="O243" s="20" t="str">
        <v>secondaryschool</v>
      </c>
      <c r="P243" s="20" t="str">
        <v>Space_Heating</v>
      </c>
      <c r="Q243" s="119">
        <f ca="1">IF($C$5="Yes",((1-$C$3)*X243/$G$3)+W243,(1-$C$3)*W243)</f>
        <v>0</v>
      </c>
      <c r="R243" s="119">
        <f ca="1">IF($C$5="Yes",0,(1-$C$3)*X243)</f>
        <v>0</v>
      </c>
      <c r="S243" s="20">
        <f t="shared" si="4"/>
        <v>0</v>
      </c>
      <c r="T243" s="128">
        <f t="shared" ref="T243:U243" ca="1" si="628">$S243*Q243</f>
        <v>0</v>
      </c>
      <c r="U243" s="128">
        <f t="shared" ca="1" si="628"/>
        <v>0</v>
      </c>
      <c r="W243" s="55">
        <f ca="1"/>
        <v>0</v>
      </c>
      <c r="X243" s="55">
        <f ca="1"/>
        <v>0</v>
      </c>
      <c r="Y243" s="21">
        <f>'nres bld calcs'!G235-S243</f>
        <v>0</v>
      </c>
      <c r="Z243" s="128">
        <f t="shared" ref="Z243:AA243" ca="1" si="629">$Y243*W243</f>
        <v>0</v>
      </c>
      <c r="AA243" s="128">
        <f t="shared" ca="1" si="629"/>
        <v>0</v>
      </c>
    </row>
    <row r="244" spans="14:27" ht="13.2">
      <c r="N244" s="20" t="str">
        <v>Montgomery</v>
      </c>
      <c r="O244" s="20" t="str">
        <v>secondaryschool</v>
      </c>
      <c r="P244" s="20" t="str">
        <v>Water_Heating</v>
      </c>
      <c r="Q244" s="119">
        <f ca="1">IF($C$6="Yes",((1-$C$4)*X244/$G$3)+W244,(1-$C$4)*W244)</f>
        <v>0</v>
      </c>
      <c r="R244" s="119">
        <f ca="1">IF($C$6="Yes",0,(1-$C$4)*X244)</f>
        <v>0</v>
      </c>
      <c r="S244" s="20">
        <f t="shared" si="4"/>
        <v>0</v>
      </c>
      <c r="T244" s="128">
        <f t="shared" ref="T244:U244" ca="1" si="630">$S244*Q244</f>
        <v>0</v>
      </c>
      <c r="U244" s="128">
        <f t="shared" ca="1" si="630"/>
        <v>0</v>
      </c>
      <c r="W244" s="55">
        <f ca="1"/>
        <v>0</v>
      </c>
      <c r="X244" s="55">
        <f ca="1"/>
        <v>0</v>
      </c>
      <c r="Y244" s="21">
        <f>'nres bld calcs'!G236-S244</f>
        <v>0</v>
      </c>
      <c r="Z244" s="128">
        <f t="shared" ref="Z244:AA244" ca="1" si="631">$Y244*W244</f>
        <v>0</v>
      </c>
      <c r="AA244" s="128">
        <f t="shared" ca="1" si="631"/>
        <v>0</v>
      </c>
    </row>
    <row r="245" spans="14:27" ht="13.2">
      <c r="N245" s="20" t="str">
        <v>Montgomery</v>
      </c>
      <c r="O245" s="20" t="str">
        <v>smallhotel</v>
      </c>
      <c r="P245" s="20" t="str">
        <v>Aux_Equip</v>
      </c>
      <c r="Q245" s="119">
        <f t="shared" ref="Q245:R245" ca="1" si="632">(1-$C$4)*W245</f>
        <v>1.2769997771356213E-2</v>
      </c>
      <c r="R245" s="119">
        <f t="shared" ca="1" si="632"/>
        <v>8.1924183769586881E-3</v>
      </c>
      <c r="S245" s="20">
        <f t="shared" si="4"/>
        <v>0</v>
      </c>
      <c r="T245" s="128">
        <f t="shared" ref="T245:U245" ca="1" si="633">$S245*Q245</f>
        <v>0</v>
      </c>
      <c r="U245" s="128">
        <f t="shared" ca="1" si="633"/>
        <v>0</v>
      </c>
      <c r="W245" s="55">
        <f ca="1"/>
        <v>1.2769997771356213E-2</v>
      </c>
      <c r="X245" s="55">
        <f ca="1"/>
        <v>8.1924183769586881E-3</v>
      </c>
      <c r="Y245" s="21">
        <f ca="1">'nres bld calcs'!G237-S245</f>
        <v>7826533</v>
      </c>
      <c r="Z245" s="128">
        <f t="shared" ref="Z245:AA245" ca="1" si="634">$Y245*W245</f>
        <v>99944.808967445861</v>
      </c>
      <c r="AA245" s="128">
        <f t="shared" ca="1" si="634"/>
        <v>64118.232777073616</v>
      </c>
    </row>
    <row r="246" spans="14:27" ht="13.2">
      <c r="N246" s="20" t="str">
        <v>Montgomery</v>
      </c>
      <c r="O246" s="20" t="str">
        <v>smallhotel</v>
      </c>
      <c r="P246" s="20" t="str">
        <v>Aux_Motors</v>
      </c>
      <c r="Q246" s="119">
        <f t="shared" ref="Q246:R246" ca="1" si="635">(1-$C$4)*W246</f>
        <v>1.0893092708801155E-2</v>
      </c>
      <c r="R246" s="119">
        <f t="shared" ca="1" si="635"/>
        <v>0</v>
      </c>
      <c r="S246" s="20">
        <f t="shared" si="4"/>
        <v>0</v>
      </c>
      <c r="T246" s="128">
        <f t="shared" ref="T246:U246" ca="1" si="636">$S246*Q246</f>
        <v>0</v>
      </c>
      <c r="U246" s="128">
        <f t="shared" ca="1" si="636"/>
        <v>0</v>
      </c>
      <c r="W246" s="55">
        <f ca="1"/>
        <v>1.0893092708801155E-2</v>
      </c>
      <c r="X246" s="55">
        <f ca="1"/>
        <v>0</v>
      </c>
      <c r="Y246" s="21">
        <f ca="1">'nres bld calcs'!G238-S246</f>
        <v>7826533</v>
      </c>
      <c r="Z246" s="128">
        <f t="shared" ref="Z246:AA246" ca="1" si="637">$Y246*W246</f>
        <v>85255.149557491633</v>
      </c>
      <c r="AA246" s="128">
        <f t="shared" ca="1" si="637"/>
        <v>0</v>
      </c>
    </row>
    <row r="247" spans="14:27" ht="13.2">
      <c r="N247" s="20" t="str">
        <v>Montgomery</v>
      </c>
      <c r="O247" s="20" t="str">
        <v>smallhotel</v>
      </c>
      <c r="P247" s="20" t="str">
        <v>Lighting</v>
      </c>
      <c r="Q247" s="119">
        <f t="shared" ref="Q247:R247" ca="1" si="638">(1-$C$4)*W247</f>
        <v>9.6407924548422928E-3</v>
      </c>
      <c r="R247" s="119">
        <f t="shared" ca="1" si="638"/>
        <v>0</v>
      </c>
      <c r="S247" s="20">
        <f t="shared" si="4"/>
        <v>0</v>
      </c>
      <c r="T247" s="128">
        <f t="shared" ref="T247:U247" ca="1" si="639">$S247*Q247</f>
        <v>0</v>
      </c>
      <c r="U247" s="128">
        <f t="shared" ca="1" si="639"/>
        <v>0</v>
      </c>
      <c r="W247" s="55">
        <f ca="1"/>
        <v>9.6407924548422928E-3</v>
      </c>
      <c r="X247" s="55">
        <f ca="1"/>
        <v>0</v>
      </c>
      <c r="Y247" s="21">
        <f ca="1">'nres bld calcs'!G239-S247</f>
        <v>7826533</v>
      </c>
      <c r="Z247" s="128">
        <f t="shared" ref="Z247:AA247" ca="1" si="640">$Y247*W247</f>
        <v>75453.980293974208</v>
      </c>
      <c r="AA247" s="128">
        <f t="shared" ca="1" si="640"/>
        <v>0</v>
      </c>
    </row>
    <row r="248" spans="14:27" ht="13.2">
      <c r="N248" s="20" t="str">
        <v>Montgomery</v>
      </c>
      <c r="O248" s="20" t="str">
        <v>smallhotel</v>
      </c>
      <c r="P248" s="20" t="str">
        <v>Space_Cooling</v>
      </c>
      <c r="Q248" s="119">
        <f t="shared" ref="Q248:R248" ca="1" si="641">(1-$C$4)*W248</f>
        <v>6.4967618553088248E-3</v>
      </c>
      <c r="R248" s="119">
        <f t="shared" ca="1" si="641"/>
        <v>0</v>
      </c>
      <c r="S248" s="20">
        <f t="shared" si="4"/>
        <v>0</v>
      </c>
      <c r="T248" s="128">
        <f t="shared" ref="T248:U248" ca="1" si="642">$S248*Q248</f>
        <v>0</v>
      </c>
      <c r="U248" s="128">
        <f t="shared" ca="1" si="642"/>
        <v>0</v>
      </c>
      <c r="W248" s="55">
        <f ca="1"/>
        <v>6.4967618553088248E-3</v>
      </c>
      <c r="X248" s="55">
        <f ca="1"/>
        <v>0</v>
      </c>
      <c r="Y248" s="21">
        <f ca="1">'nres bld calcs'!G240-S248</f>
        <v>7826533</v>
      </c>
      <c r="Z248" s="128">
        <f t="shared" ref="Z248:AA248" ca="1" si="643">$Y248*W248</f>
        <v>50847.121053715746</v>
      </c>
      <c r="AA248" s="128">
        <f t="shared" ca="1" si="643"/>
        <v>0</v>
      </c>
    </row>
    <row r="249" spans="14:27" ht="13.2">
      <c r="N249" s="20" t="str">
        <v>Montgomery</v>
      </c>
      <c r="O249" s="20" t="str">
        <v>smallhotel</v>
      </c>
      <c r="P249" s="20" t="str">
        <v>Space_Heating</v>
      </c>
      <c r="Q249" s="119">
        <f ca="1">IF($C$5="Yes",((1-$C$3)*X249/$G$3)+W249,(1-$C$3)*W249)</f>
        <v>7.8301853400580021E-4</v>
      </c>
      <c r="R249" s="119">
        <f ca="1">IF($C$5="Yes",0,(1-$C$3)*X249)</f>
        <v>1.3323010032661464E-2</v>
      </c>
      <c r="S249" s="20">
        <f t="shared" si="4"/>
        <v>0</v>
      </c>
      <c r="T249" s="128">
        <f t="shared" ref="T249:U249" ca="1" si="644">$S249*Q249</f>
        <v>0</v>
      </c>
      <c r="U249" s="128">
        <f t="shared" ca="1" si="644"/>
        <v>0</v>
      </c>
      <c r="W249" s="55">
        <f ca="1"/>
        <v>1.5660370680116004E-3</v>
      </c>
      <c r="X249" s="55">
        <f ca="1"/>
        <v>2.6646020065322927E-2</v>
      </c>
      <c r="Y249" s="21">
        <f ca="1">'nres bld calcs'!G241-S249</f>
        <v>7826533</v>
      </c>
      <c r="Z249" s="128">
        <f t="shared" ref="Z249:AA249" ca="1" si="645">$Y249*W249</f>
        <v>12256.640792016035</v>
      </c>
      <c r="AA249" s="128">
        <f t="shared" ca="1" si="645"/>
        <v>208545.95535991204</v>
      </c>
    </row>
    <row r="250" spans="14:27" ht="13.2">
      <c r="N250" s="20" t="str">
        <v>Montgomery</v>
      </c>
      <c r="O250" s="20" t="str">
        <v>smallhotel</v>
      </c>
      <c r="P250" s="20" t="str">
        <v>Water_Heating</v>
      </c>
      <c r="Q250" s="119">
        <f ca="1">IF($C$6="Yes",((1-$C$4)*X250/$G$3)+W250,(1-$C$4)*W250)</f>
        <v>1.4110785271392501E-3</v>
      </c>
      <c r="R250" s="119">
        <f ca="1">IF($C$6="Yes",0,(1-$C$4)*X250)</f>
        <v>1.2619610556424363E-2</v>
      </c>
      <c r="S250" s="20">
        <f t="shared" si="4"/>
        <v>0</v>
      </c>
      <c r="T250" s="128">
        <f t="shared" ref="T250:U250" ca="1" si="646">$S250*Q250</f>
        <v>0</v>
      </c>
      <c r="U250" s="128">
        <f t="shared" ca="1" si="646"/>
        <v>0</v>
      </c>
      <c r="W250" s="55">
        <f ca="1"/>
        <v>1.4110785271392501E-3</v>
      </c>
      <c r="X250" s="55">
        <f ca="1"/>
        <v>1.2619610556424363E-2</v>
      </c>
      <c r="Y250" s="21">
        <f ca="1">'nres bld calcs'!G242-S250</f>
        <v>7826533</v>
      </c>
      <c r="Z250" s="128">
        <f t="shared" ref="Z250:AA250" ca="1" si="647">$Y250*W250</f>
        <v>11043.852658246737</v>
      </c>
      <c r="AA250" s="128">
        <f t="shared" ca="1" si="647"/>
        <v>98767.798467003639</v>
      </c>
    </row>
    <row r="251" spans="14:27" ht="13.2">
      <c r="N251" s="20" t="str">
        <v>Montgomery</v>
      </c>
      <c r="O251" s="20" t="str">
        <v>smalloffice</v>
      </c>
      <c r="P251" s="20" t="str">
        <v>Aux_Equip</v>
      </c>
      <c r="Q251" s="119">
        <f t="shared" ref="Q251:R251" ca="1" si="648">(1-$C$4)*W251</f>
        <v>0</v>
      </c>
      <c r="R251" s="119">
        <f t="shared" ca="1" si="648"/>
        <v>0</v>
      </c>
      <c r="S251" s="20">
        <f t="shared" si="4"/>
        <v>0</v>
      </c>
      <c r="T251" s="128">
        <f t="shared" ref="T251:U251" ca="1" si="649">$S251*Q251</f>
        <v>0</v>
      </c>
      <c r="U251" s="128">
        <f t="shared" ca="1" si="649"/>
        <v>0</v>
      </c>
      <c r="W251" s="55">
        <f ca="1"/>
        <v>0</v>
      </c>
      <c r="X251" s="55">
        <f ca="1"/>
        <v>0</v>
      </c>
      <c r="Y251" s="21">
        <f>'nres bld calcs'!G243-S251</f>
        <v>0</v>
      </c>
      <c r="Z251" s="128">
        <f t="shared" ref="Z251:AA251" ca="1" si="650">$Y251*W251</f>
        <v>0</v>
      </c>
      <c r="AA251" s="128">
        <f t="shared" ca="1" si="650"/>
        <v>0</v>
      </c>
    </row>
    <row r="252" spans="14:27" ht="13.2">
      <c r="N252" s="20" t="str">
        <v>Montgomery</v>
      </c>
      <c r="O252" s="20" t="str">
        <v>smalloffice</v>
      </c>
      <c r="P252" s="20" t="str">
        <v>Aux_Motors</v>
      </c>
      <c r="Q252" s="119">
        <f t="shared" ref="Q252:R252" ca="1" si="651">(1-$C$4)*W252</f>
        <v>0</v>
      </c>
      <c r="R252" s="119">
        <f t="shared" ca="1" si="651"/>
        <v>0</v>
      </c>
      <c r="S252" s="20">
        <f t="shared" si="4"/>
        <v>0</v>
      </c>
      <c r="T252" s="128">
        <f t="shared" ref="T252:U252" ca="1" si="652">$S252*Q252</f>
        <v>0</v>
      </c>
      <c r="U252" s="128">
        <f t="shared" ca="1" si="652"/>
        <v>0</v>
      </c>
      <c r="W252" s="55">
        <f ca="1"/>
        <v>0</v>
      </c>
      <c r="X252" s="55">
        <f ca="1"/>
        <v>0</v>
      </c>
      <c r="Y252" s="21">
        <f>'nres bld calcs'!G244-S252</f>
        <v>0</v>
      </c>
      <c r="Z252" s="128">
        <f t="shared" ref="Z252:AA252" ca="1" si="653">$Y252*W252</f>
        <v>0</v>
      </c>
      <c r="AA252" s="128">
        <f t="shared" ca="1" si="653"/>
        <v>0</v>
      </c>
    </row>
    <row r="253" spans="14:27" ht="13.2">
      <c r="N253" s="20" t="str">
        <v>Montgomery</v>
      </c>
      <c r="O253" s="20" t="str">
        <v>smalloffice</v>
      </c>
      <c r="P253" s="20" t="str">
        <v>Lighting</v>
      </c>
      <c r="Q253" s="119">
        <f t="shared" ref="Q253:R253" ca="1" si="654">(1-$C$4)*W253</f>
        <v>0</v>
      </c>
      <c r="R253" s="119">
        <f t="shared" ca="1" si="654"/>
        <v>0</v>
      </c>
      <c r="S253" s="20">
        <f t="shared" si="4"/>
        <v>0</v>
      </c>
      <c r="T253" s="128">
        <f t="shared" ref="T253:U253" ca="1" si="655">$S253*Q253</f>
        <v>0</v>
      </c>
      <c r="U253" s="128">
        <f t="shared" ca="1" si="655"/>
        <v>0</v>
      </c>
      <c r="W253" s="55">
        <f ca="1"/>
        <v>0</v>
      </c>
      <c r="X253" s="55">
        <f ca="1"/>
        <v>0</v>
      </c>
      <c r="Y253" s="21">
        <f>'nres bld calcs'!G245-S253</f>
        <v>0</v>
      </c>
      <c r="Z253" s="128">
        <f t="shared" ref="Z253:AA253" ca="1" si="656">$Y253*W253</f>
        <v>0</v>
      </c>
      <c r="AA253" s="128">
        <f t="shared" ca="1" si="656"/>
        <v>0</v>
      </c>
    </row>
    <row r="254" spans="14:27" ht="13.2">
      <c r="N254" s="20" t="str">
        <v>Montgomery</v>
      </c>
      <c r="O254" s="20" t="str">
        <v>smalloffice</v>
      </c>
      <c r="P254" s="20" t="str">
        <v>Space_Cooling</v>
      </c>
      <c r="Q254" s="119">
        <f t="shared" ref="Q254:R254" ca="1" si="657">(1-$C$4)*W254</f>
        <v>0</v>
      </c>
      <c r="R254" s="119">
        <f t="shared" ca="1" si="657"/>
        <v>0</v>
      </c>
      <c r="S254" s="20">
        <f t="shared" si="4"/>
        <v>0</v>
      </c>
      <c r="T254" s="128">
        <f t="shared" ref="T254:U254" ca="1" si="658">$S254*Q254</f>
        <v>0</v>
      </c>
      <c r="U254" s="128">
        <f t="shared" ca="1" si="658"/>
        <v>0</v>
      </c>
      <c r="W254" s="55">
        <f ca="1"/>
        <v>0</v>
      </c>
      <c r="X254" s="55">
        <f ca="1"/>
        <v>0</v>
      </c>
      <c r="Y254" s="21">
        <f>'nres bld calcs'!G246-S254</f>
        <v>0</v>
      </c>
      <c r="Z254" s="128">
        <f t="shared" ref="Z254:AA254" ca="1" si="659">$Y254*W254</f>
        <v>0</v>
      </c>
      <c r="AA254" s="128">
        <f t="shared" ca="1" si="659"/>
        <v>0</v>
      </c>
    </row>
    <row r="255" spans="14:27" ht="13.2">
      <c r="N255" s="20" t="str">
        <v>Montgomery</v>
      </c>
      <c r="O255" s="20" t="str">
        <v>smalloffice</v>
      </c>
      <c r="P255" s="20" t="str">
        <v>Space_Heating</v>
      </c>
      <c r="Q255" s="119">
        <f ca="1">IF($C$5="Yes",((1-$C$3)*X255/$G$3)+W255,(1-$C$3)*W255)</f>
        <v>0</v>
      </c>
      <c r="R255" s="119">
        <f ca="1">IF($C$5="Yes",0,(1-$C$3)*X255)</f>
        <v>0</v>
      </c>
      <c r="S255" s="20">
        <f t="shared" si="4"/>
        <v>0</v>
      </c>
      <c r="T255" s="128">
        <f t="shared" ref="T255:U255" ca="1" si="660">$S255*Q255</f>
        <v>0</v>
      </c>
      <c r="U255" s="128">
        <f t="shared" ca="1" si="660"/>
        <v>0</v>
      </c>
      <c r="W255" s="55">
        <f ca="1"/>
        <v>0</v>
      </c>
      <c r="X255" s="55">
        <f ca="1"/>
        <v>0</v>
      </c>
      <c r="Y255" s="21">
        <f>'nres bld calcs'!G247-S255</f>
        <v>0</v>
      </c>
      <c r="Z255" s="128">
        <f t="shared" ref="Z255:AA255" ca="1" si="661">$Y255*W255</f>
        <v>0</v>
      </c>
      <c r="AA255" s="128">
        <f t="shared" ca="1" si="661"/>
        <v>0</v>
      </c>
    </row>
    <row r="256" spans="14:27" ht="13.2">
      <c r="N256" s="20" t="str">
        <v>Montgomery</v>
      </c>
      <c r="O256" s="20" t="str">
        <v>smalloffice</v>
      </c>
      <c r="P256" s="20" t="str">
        <v>Water_Heating</v>
      </c>
      <c r="Q256" s="119">
        <f ca="1">IF($C$6="Yes",((1-$C$4)*X256/$G$3)+W256,(1-$C$4)*W256)</f>
        <v>0</v>
      </c>
      <c r="R256" s="119">
        <f ca="1">IF($C$6="Yes",0,(1-$C$4)*X256)</f>
        <v>0</v>
      </c>
      <c r="S256" s="20">
        <f t="shared" si="4"/>
        <v>0</v>
      </c>
      <c r="T256" s="128">
        <f t="shared" ref="T256:U256" ca="1" si="662">$S256*Q256</f>
        <v>0</v>
      </c>
      <c r="U256" s="128">
        <f t="shared" ca="1" si="662"/>
        <v>0</v>
      </c>
      <c r="W256" s="55">
        <f ca="1"/>
        <v>0</v>
      </c>
      <c r="X256" s="55">
        <f ca="1"/>
        <v>0</v>
      </c>
      <c r="Y256" s="21">
        <f>'nres bld calcs'!G248-S256</f>
        <v>0</v>
      </c>
      <c r="Z256" s="128">
        <f t="shared" ref="Z256:AA256" ca="1" si="663">$Y256*W256</f>
        <v>0</v>
      </c>
      <c r="AA256" s="128">
        <f t="shared" ca="1" si="663"/>
        <v>0</v>
      </c>
    </row>
    <row r="257" spans="14:27" ht="13.2">
      <c r="N257" s="20" t="str">
        <v>Montgomery</v>
      </c>
      <c r="O257" s="20" t="str">
        <v>warehouse</v>
      </c>
      <c r="P257" s="20" t="str">
        <v>Aux_Equip</v>
      </c>
      <c r="Q257" s="119">
        <f t="shared" ref="Q257:R257" ca="1" si="664">(1-$C$4)*W257</f>
        <v>2.2801056501855287E-2</v>
      </c>
      <c r="R257" s="119">
        <f t="shared" ca="1" si="664"/>
        <v>0</v>
      </c>
      <c r="S257" s="20">
        <f t="shared" si="4"/>
        <v>0</v>
      </c>
      <c r="T257" s="128">
        <f t="shared" ref="T257:U257" ca="1" si="665">$S257*Q257</f>
        <v>0</v>
      </c>
      <c r="U257" s="128">
        <f t="shared" ca="1" si="665"/>
        <v>0</v>
      </c>
      <c r="W257" s="55">
        <f ca="1"/>
        <v>2.2801056501855287E-2</v>
      </c>
      <c r="X257" s="55">
        <f ca="1"/>
        <v>0</v>
      </c>
      <c r="Y257" s="21">
        <f ca="1">'nres bld calcs'!G249-S257</f>
        <v>19222284</v>
      </c>
      <c r="Z257" s="128">
        <f t="shared" ref="Z257:AA257" ca="1" si="666">$Y257*W257</f>
        <v>438288.38357870886</v>
      </c>
      <c r="AA257" s="128">
        <f t="shared" ca="1" si="666"/>
        <v>0</v>
      </c>
    </row>
    <row r="258" spans="14:27" ht="13.2">
      <c r="N258" s="20" t="str">
        <v>Montgomery</v>
      </c>
      <c r="O258" s="20" t="str">
        <v>warehouse</v>
      </c>
      <c r="P258" s="20" t="str">
        <v>Aux_Motors</v>
      </c>
      <c r="Q258" s="119">
        <f t="shared" ref="Q258:R258" ca="1" si="667">(1-$C$4)*W258</f>
        <v>1.5309507185879423E-3</v>
      </c>
      <c r="R258" s="119">
        <f t="shared" ca="1" si="667"/>
        <v>0</v>
      </c>
      <c r="S258" s="20">
        <f t="shared" si="4"/>
        <v>0</v>
      </c>
      <c r="T258" s="128">
        <f t="shared" ref="T258:U258" ca="1" si="668">$S258*Q258</f>
        <v>0</v>
      </c>
      <c r="U258" s="128">
        <f t="shared" ca="1" si="668"/>
        <v>0</v>
      </c>
      <c r="W258" s="55">
        <f ca="1"/>
        <v>1.5309507185879423E-3</v>
      </c>
      <c r="X258" s="55">
        <f ca="1"/>
        <v>0</v>
      </c>
      <c r="Y258" s="21">
        <f ca="1">'nres bld calcs'!G250-S258</f>
        <v>19222284</v>
      </c>
      <c r="Z258" s="128">
        <f t="shared" ref="Z258:AA258" ca="1" si="669">$Y258*W258</f>
        <v>29428.369502701506</v>
      </c>
      <c r="AA258" s="128">
        <f t="shared" ca="1" si="669"/>
        <v>0</v>
      </c>
    </row>
    <row r="259" spans="14:27" ht="13.2">
      <c r="N259" s="20" t="str">
        <v>Montgomery</v>
      </c>
      <c r="O259" s="20" t="str">
        <v>warehouse</v>
      </c>
      <c r="P259" s="20" t="str">
        <v>Lighting</v>
      </c>
      <c r="Q259" s="119">
        <f t="shared" ref="Q259:R259" ca="1" si="670">(1-$C$4)*W259</f>
        <v>1.6136847030596296E-2</v>
      </c>
      <c r="R259" s="119">
        <f t="shared" ca="1" si="670"/>
        <v>0</v>
      </c>
      <c r="S259" s="20">
        <f t="shared" si="4"/>
        <v>0</v>
      </c>
      <c r="T259" s="128">
        <f t="shared" ref="T259:U259" ca="1" si="671">$S259*Q259</f>
        <v>0</v>
      </c>
      <c r="U259" s="128">
        <f t="shared" ca="1" si="671"/>
        <v>0</v>
      </c>
      <c r="W259" s="55">
        <f ca="1"/>
        <v>1.6136847030596296E-2</v>
      </c>
      <c r="X259" s="55">
        <f ca="1"/>
        <v>0</v>
      </c>
      <c r="Y259" s="21">
        <f ca="1">'nres bld calcs'!G251-S259</f>
        <v>19222284</v>
      </c>
      <c r="Z259" s="128">
        <f t="shared" ref="Z259:AA259" ca="1" si="672">$Y259*W259</f>
        <v>310187.05648667866</v>
      </c>
      <c r="AA259" s="128">
        <f t="shared" ca="1" si="672"/>
        <v>0</v>
      </c>
    </row>
    <row r="260" spans="14:27" ht="13.2">
      <c r="N260" s="20" t="str">
        <v>Montgomery</v>
      </c>
      <c r="O260" s="20" t="str">
        <v>warehouse</v>
      </c>
      <c r="P260" s="20" t="str">
        <v>Space_Cooling</v>
      </c>
      <c r="Q260" s="119">
        <f t="shared" ref="Q260:R260" ca="1" si="673">(1-$C$4)*W260</f>
        <v>3.7105751026534934E-4</v>
      </c>
      <c r="R260" s="119">
        <f t="shared" ca="1" si="673"/>
        <v>0</v>
      </c>
      <c r="S260" s="20">
        <f t="shared" si="4"/>
        <v>0</v>
      </c>
      <c r="T260" s="128">
        <f t="shared" ref="T260:U260" ca="1" si="674">$S260*Q260</f>
        <v>0</v>
      </c>
      <c r="U260" s="128">
        <f t="shared" ca="1" si="674"/>
        <v>0</v>
      </c>
      <c r="W260" s="55">
        <f ca="1"/>
        <v>3.7105751026534934E-4</v>
      </c>
      <c r="X260" s="55">
        <f ca="1"/>
        <v>0</v>
      </c>
      <c r="Y260" s="21">
        <f ca="1">'nres bld calcs'!G252-S260</f>
        <v>19222284</v>
      </c>
      <c r="Z260" s="128">
        <f t="shared" ref="Z260:AA260" ca="1" si="675">$Y260*W260</f>
        <v>7132.5728426534606</v>
      </c>
      <c r="AA260" s="128">
        <f t="shared" ca="1" si="675"/>
        <v>0</v>
      </c>
    </row>
    <row r="261" spans="14:27" ht="13.2">
      <c r="N261" s="20" t="str">
        <v>Montgomery</v>
      </c>
      <c r="O261" s="20" t="str">
        <v>warehouse</v>
      </c>
      <c r="P261" s="20" t="str">
        <v>Space_Heating</v>
      </c>
      <c r="Q261" s="119">
        <f ca="1">IF($C$5="Yes",((1-$C$3)*X261/$G$3)+W261,(1-$C$3)*W261)</f>
        <v>9.6892431207723289E-4</v>
      </c>
      <c r="R261" s="119">
        <f ca="1">IF($C$5="Yes",0,(1-$C$3)*X261)</f>
        <v>2.3729024499352991E-2</v>
      </c>
      <c r="S261" s="20">
        <f t="shared" si="4"/>
        <v>0</v>
      </c>
      <c r="T261" s="128">
        <f t="shared" ref="T261:U261" ca="1" si="676">$S261*Q261</f>
        <v>0</v>
      </c>
      <c r="U261" s="128">
        <f t="shared" ca="1" si="676"/>
        <v>0</v>
      </c>
      <c r="W261" s="55">
        <f ca="1"/>
        <v>1.9378486241544658E-3</v>
      </c>
      <c r="X261" s="55">
        <f ca="1"/>
        <v>4.7458048998705982E-2</v>
      </c>
      <c r="Y261" s="21">
        <f ca="1">'nres bld calcs'!G253-S261</f>
        <v>19222284</v>
      </c>
      <c r="Z261" s="128">
        <f t="shared" ref="Z261:AA261" ca="1" si="677">$Y261*W261</f>
        <v>37249.876602506403</v>
      </c>
      <c r="AA261" s="128">
        <f t="shared" ca="1" si="677"/>
        <v>912252.09593904205</v>
      </c>
    </row>
    <row r="262" spans="14:27" ht="13.2">
      <c r="N262" s="20" t="str">
        <v>Montgomery</v>
      </c>
      <c r="O262" s="20" t="str">
        <v>warehouse</v>
      </c>
      <c r="P262" s="20" t="str">
        <v>Water_Heating</v>
      </c>
      <c r="Q262" s="119">
        <f ca="1">IF($C$6="Yes",((1-$C$4)*X262/$G$3)+W262,(1-$C$4)*W262)</f>
        <v>0</v>
      </c>
      <c r="R262" s="119">
        <f ca="1">IF($C$6="Yes",0,(1-$C$4)*X262)</f>
        <v>0</v>
      </c>
      <c r="S262" s="20">
        <f t="shared" si="4"/>
        <v>0</v>
      </c>
      <c r="T262" s="128">
        <f t="shared" ref="T262:U262" ca="1" si="678">$S262*Q262</f>
        <v>0</v>
      </c>
      <c r="U262" s="128">
        <f t="shared" ca="1" si="678"/>
        <v>0</v>
      </c>
      <c r="W262" s="55">
        <f ca="1"/>
        <v>0</v>
      </c>
      <c r="X262" s="55">
        <f ca="1"/>
        <v>0</v>
      </c>
      <c r="Y262" s="21">
        <f ca="1">'nres bld calcs'!G254-S262</f>
        <v>19222284</v>
      </c>
      <c r="Z262" s="128">
        <f t="shared" ref="Z262:AA262" ca="1" si="679">$Y262*W262</f>
        <v>0</v>
      </c>
      <c r="AA262" s="128">
        <f t="shared" ca="1" si="679"/>
        <v>0</v>
      </c>
    </row>
    <row r="263" spans="14:27" ht="13.2">
      <c r="Q263" s="119"/>
      <c r="R263" s="119"/>
      <c r="T263" s="128"/>
      <c r="U263" s="128"/>
      <c r="Z263" s="128"/>
      <c r="AA263" s="128"/>
    </row>
    <row r="264" spans="14:27" ht="13.2">
      <c r="Q264" s="119"/>
      <c r="R264" s="119"/>
      <c r="T264" s="128"/>
      <c r="U264" s="128"/>
      <c r="Z264" s="128"/>
      <c r="AA264" s="128"/>
    </row>
    <row r="265" spans="14:27" ht="13.2">
      <c r="Q265" s="119"/>
      <c r="R265" s="119"/>
      <c r="T265" s="128"/>
      <c r="U265" s="128"/>
      <c r="Z265" s="128"/>
      <c r="AA265" s="128"/>
    </row>
    <row r="266" spans="14:27" ht="13.2">
      <c r="Q266" s="119"/>
      <c r="R266" s="119"/>
      <c r="T266" s="128"/>
      <c r="U266" s="128"/>
      <c r="Z266" s="128"/>
      <c r="AA266" s="128"/>
    </row>
    <row r="267" spans="14:27" ht="13.2">
      <c r="Q267" s="119"/>
      <c r="R267" s="119"/>
      <c r="T267" s="128"/>
      <c r="U267" s="128"/>
      <c r="Z267" s="128"/>
      <c r="AA267" s="128"/>
    </row>
    <row r="268" spans="14:27" ht="13.2">
      <c r="Q268" s="119"/>
      <c r="R268" s="119"/>
      <c r="T268" s="128"/>
      <c r="U268" s="128"/>
      <c r="Z268" s="128"/>
      <c r="AA268" s="128"/>
    </row>
    <row r="269" spans="14:27" ht="13.2">
      <c r="Q269" s="119"/>
      <c r="R269" s="119"/>
      <c r="T269" s="128"/>
      <c r="U269" s="128"/>
      <c r="Z269" s="128"/>
      <c r="AA269" s="128"/>
    </row>
    <row r="270" spans="14:27" ht="13.2">
      <c r="Q270" s="119"/>
      <c r="R270" s="119"/>
      <c r="T270" s="128"/>
      <c r="U270" s="128"/>
      <c r="Z270" s="128"/>
      <c r="AA270" s="128"/>
    </row>
    <row r="271" spans="14:27" ht="13.2">
      <c r="Q271" s="119"/>
      <c r="R271" s="119"/>
      <c r="T271" s="128"/>
      <c r="U271" s="128"/>
      <c r="Z271" s="128"/>
      <c r="AA271" s="128"/>
    </row>
    <row r="272" spans="14:27" ht="13.2">
      <c r="Q272" s="119"/>
      <c r="R272" s="119"/>
      <c r="T272" s="128"/>
      <c r="U272" s="128"/>
      <c r="Z272" s="128"/>
      <c r="AA272" s="128"/>
    </row>
    <row r="273" spans="17:27" ht="13.2">
      <c r="Q273" s="119"/>
      <c r="R273" s="119"/>
      <c r="T273" s="128"/>
      <c r="U273" s="128"/>
      <c r="Z273" s="128"/>
      <c r="AA273" s="128"/>
    </row>
    <row r="274" spans="17:27" ht="13.2">
      <c r="Q274" s="119"/>
      <c r="R274" s="119"/>
      <c r="T274" s="128"/>
      <c r="U274" s="128"/>
      <c r="Z274" s="128"/>
      <c r="AA274" s="128"/>
    </row>
    <row r="275" spans="17:27" ht="13.2">
      <c r="Q275" s="119"/>
      <c r="R275" s="119"/>
      <c r="T275" s="128"/>
      <c r="U275" s="128"/>
      <c r="Z275" s="128"/>
      <c r="AA275" s="128"/>
    </row>
    <row r="276" spans="17:27" ht="13.2">
      <c r="Q276" s="119"/>
      <c r="R276" s="119"/>
      <c r="T276" s="128"/>
      <c r="U276" s="128"/>
      <c r="Z276" s="128"/>
      <c r="AA276" s="128"/>
    </row>
    <row r="277" spans="17:27" ht="13.2">
      <c r="Q277" s="119"/>
      <c r="R277" s="119"/>
      <c r="T277" s="128"/>
      <c r="U277" s="128"/>
      <c r="Z277" s="128"/>
      <c r="AA277" s="128"/>
    </row>
    <row r="278" spans="17:27" ht="13.2">
      <c r="Q278" s="119"/>
      <c r="R278" s="119"/>
      <c r="T278" s="128"/>
      <c r="U278" s="128"/>
      <c r="Z278" s="128"/>
      <c r="AA278" s="128"/>
    </row>
    <row r="279" spans="17:27" ht="13.2">
      <c r="Q279" s="119"/>
      <c r="R279" s="119"/>
      <c r="T279" s="128"/>
      <c r="U279" s="128"/>
      <c r="Z279" s="128"/>
      <c r="AA279" s="128"/>
    </row>
    <row r="280" spans="17:27" ht="13.2">
      <c r="Q280" s="119"/>
      <c r="R280" s="119"/>
      <c r="T280" s="128"/>
      <c r="U280" s="128"/>
      <c r="Z280" s="128"/>
      <c r="AA280" s="128"/>
    </row>
    <row r="281" spans="17:27" ht="13.2">
      <c r="Q281" s="119"/>
      <c r="R281" s="119"/>
      <c r="T281" s="128"/>
      <c r="U281" s="128"/>
      <c r="Z281" s="128"/>
      <c r="AA281" s="128"/>
    </row>
    <row r="282" spans="17:27" ht="13.2">
      <c r="Q282" s="119"/>
      <c r="R282" s="119"/>
      <c r="T282" s="128"/>
      <c r="U282" s="128"/>
      <c r="Z282" s="128"/>
      <c r="AA282" s="128"/>
    </row>
    <row r="283" spans="17:27" ht="13.2">
      <c r="Q283" s="119"/>
      <c r="R283" s="119"/>
      <c r="T283" s="128"/>
      <c r="U283" s="128"/>
      <c r="Z283" s="128"/>
      <c r="AA283" s="128"/>
    </row>
    <row r="284" spans="17:27" ht="13.2">
      <c r="Q284" s="119"/>
      <c r="R284" s="119"/>
      <c r="T284" s="128"/>
      <c r="U284" s="128"/>
      <c r="Z284" s="128"/>
      <c r="AA284" s="128"/>
    </row>
    <row r="285" spans="17:27" ht="13.2">
      <c r="Q285" s="119"/>
      <c r="R285" s="119"/>
      <c r="T285" s="128"/>
      <c r="U285" s="128"/>
      <c r="Z285" s="128"/>
      <c r="AA285" s="128"/>
    </row>
    <row r="286" spans="17:27" ht="13.2">
      <c r="Q286" s="119"/>
      <c r="R286" s="119"/>
      <c r="T286" s="128"/>
      <c r="U286" s="128"/>
      <c r="Z286" s="128"/>
      <c r="AA286" s="128"/>
    </row>
    <row r="287" spans="17:27" ht="13.2">
      <c r="Q287" s="119"/>
      <c r="R287" s="119"/>
      <c r="T287" s="128"/>
      <c r="U287" s="128"/>
      <c r="Z287" s="128"/>
      <c r="AA287" s="128"/>
    </row>
    <row r="288" spans="17:27" ht="13.2">
      <c r="Q288" s="119"/>
      <c r="R288" s="119"/>
      <c r="T288" s="128"/>
      <c r="U288" s="128"/>
      <c r="Z288" s="128"/>
      <c r="AA288" s="128"/>
    </row>
    <row r="289" spans="17:27" ht="13.2">
      <c r="Q289" s="119"/>
      <c r="R289" s="119"/>
      <c r="T289" s="128"/>
      <c r="U289" s="128"/>
      <c r="Z289" s="128"/>
      <c r="AA289" s="128"/>
    </row>
    <row r="290" spans="17:27" ht="13.2">
      <c r="Q290" s="119"/>
      <c r="R290" s="119"/>
      <c r="T290" s="128"/>
      <c r="U290" s="128"/>
      <c r="Z290" s="128"/>
      <c r="AA290" s="128"/>
    </row>
    <row r="291" spans="17:27" ht="13.2">
      <c r="Q291" s="119"/>
      <c r="R291" s="119"/>
      <c r="T291" s="128"/>
      <c r="U291" s="128"/>
      <c r="Z291" s="128"/>
      <c r="AA291" s="128"/>
    </row>
    <row r="292" spans="17:27" ht="13.2">
      <c r="Q292" s="119"/>
      <c r="R292" s="119"/>
      <c r="T292" s="128"/>
      <c r="U292" s="128"/>
      <c r="Z292" s="128"/>
      <c r="AA292" s="128"/>
    </row>
    <row r="293" spans="17:27" ht="13.2">
      <c r="Q293" s="119"/>
      <c r="R293" s="119"/>
      <c r="T293" s="128"/>
      <c r="U293" s="128"/>
      <c r="Z293" s="128"/>
      <c r="AA293" s="128"/>
    </row>
    <row r="294" spans="17:27" ht="13.2">
      <c r="Q294" s="119"/>
      <c r="R294" s="119"/>
      <c r="T294" s="128"/>
      <c r="U294" s="128"/>
      <c r="Z294" s="128"/>
      <c r="AA294" s="128"/>
    </row>
    <row r="295" spans="17:27" ht="13.2">
      <c r="Q295" s="119"/>
      <c r="R295" s="119"/>
      <c r="T295" s="128"/>
      <c r="U295" s="128"/>
      <c r="Z295" s="128"/>
      <c r="AA295" s="128"/>
    </row>
    <row r="296" spans="17:27" ht="13.2">
      <c r="Q296" s="119"/>
      <c r="R296" s="119"/>
      <c r="T296" s="128"/>
      <c r="U296" s="128"/>
      <c r="Z296" s="128"/>
      <c r="AA296" s="128"/>
    </row>
    <row r="297" spans="17:27" ht="13.2">
      <c r="Q297" s="119"/>
      <c r="R297" s="119"/>
      <c r="T297" s="128"/>
      <c r="U297" s="128"/>
      <c r="Z297" s="128"/>
      <c r="AA297" s="128"/>
    </row>
    <row r="298" spans="17:27" ht="13.2">
      <c r="Q298" s="119"/>
      <c r="R298" s="119"/>
      <c r="T298" s="128"/>
      <c r="U298" s="128"/>
      <c r="Z298" s="128"/>
      <c r="AA298" s="128"/>
    </row>
    <row r="299" spans="17:27" ht="13.2">
      <c r="Q299" s="119"/>
      <c r="R299" s="119"/>
      <c r="T299" s="128"/>
      <c r="U299" s="128"/>
      <c r="Z299" s="128"/>
      <c r="AA299" s="128"/>
    </row>
    <row r="300" spans="17:27" ht="13.2">
      <c r="Q300" s="119"/>
      <c r="R300" s="119"/>
      <c r="T300" s="128"/>
      <c r="U300" s="128"/>
      <c r="Z300" s="128"/>
      <c r="AA300" s="128"/>
    </row>
    <row r="301" spans="17:27" ht="13.2">
      <c r="Q301" s="119"/>
      <c r="R301" s="119"/>
      <c r="T301" s="128"/>
      <c r="U301" s="128"/>
      <c r="Z301" s="128"/>
      <c r="AA301" s="128"/>
    </row>
    <row r="302" spans="17:27" ht="13.2">
      <c r="Q302" s="119"/>
      <c r="R302" s="119"/>
      <c r="T302" s="128"/>
      <c r="U302" s="128"/>
      <c r="Z302" s="128"/>
      <c r="AA302" s="128"/>
    </row>
    <row r="303" spans="17:27" ht="13.2">
      <c r="Q303" s="119"/>
      <c r="R303" s="119"/>
      <c r="T303" s="128"/>
      <c r="U303" s="128"/>
      <c r="Z303" s="128"/>
      <c r="AA303" s="128"/>
    </row>
    <row r="304" spans="17:27" ht="13.2">
      <c r="Q304" s="119"/>
      <c r="R304" s="119"/>
      <c r="T304" s="128"/>
      <c r="U304" s="128"/>
      <c r="Z304" s="128"/>
      <c r="AA304" s="128"/>
    </row>
    <row r="305" spans="17:27" ht="13.2">
      <c r="Q305" s="119"/>
      <c r="R305" s="119"/>
      <c r="T305" s="128"/>
      <c r="U305" s="128"/>
      <c r="Z305" s="128"/>
      <c r="AA305" s="128"/>
    </row>
    <row r="306" spans="17:27" ht="13.2">
      <c r="Q306" s="119"/>
      <c r="R306" s="119"/>
      <c r="T306" s="128"/>
      <c r="U306" s="128"/>
      <c r="Z306" s="128"/>
      <c r="AA306" s="128"/>
    </row>
    <row r="307" spans="17:27" ht="13.2">
      <c r="Q307" s="119"/>
      <c r="R307" s="119"/>
      <c r="T307" s="128"/>
      <c r="U307" s="128"/>
      <c r="Z307" s="128"/>
      <c r="AA307" s="128"/>
    </row>
    <row r="308" spans="17:27" ht="13.2">
      <c r="Q308" s="119"/>
      <c r="R308" s="119"/>
      <c r="T308" s="128"/>
      <c r="U308" s="128"/>
      <c r="Z308" s="128"/>
      <c r="AA308" s="128"/>
    </row>
    <row r="309" spans="17:27" ht="13.2">
      <c r="Q309" s="119"/>
      <c r="R309" s="119"/>
      <c r="T309" s="128"/>
      <c r="U309" s="128"/>
      <c r="Z309" s="128"/>
      <c r="AA309" s="128"/>
    </row>
    <row r="310" spans="17:27" ht="13.2">
      <c r="Q310" s="119"/>
      <c r="R310" s="119"/>
      <c r="T310" s="128"/>
      <c r="U310" s="128"/>
      <c r="Z310" s="128"/>
      <c r="AA310" s="128"/>
    </row>
    <row r="311" spans="17:27" ht="13.2">
      <c r="Q311" s="119"/>
      <c r="R311" s="119"/>
      <c r="T311" s="128"/>
      <c r="U311" s="128"/>
      <c r="Z311" s="128"/>
      <c r="AA311" s="128"/>
    </row>
    <row r="312" spans="17:27" ht="13.2">
      <c r="Q312" s="119"/>
      <c r="R312" s="119"/>
      <c r="T312" s="128"/>
      <c r="U312" s="128"/>
      <c r="Z312" s="128"/>
      <c r="AA312" s="128"/>
    </row>
    <row r="313" spans="17:27" ht="13.2">
      <c r="Q313" s="119"/>
      <c r="R313" s="119"/>
      <c r="T313" s="128"/>
      <c r="U313" s="128"/>
      <c r="Z313" s="128"/>
      <c r="AA313" s="128"/>
    </row>
    <row r="314" spans="17:27" ht="13.2">
      <c r="Q314" s="119"/>
      <c r="R314" s="119"/>
      <c r="T314" s="128"/>
      <c r="U314" s="128"/>
      <c r="Z314" s="128"/>
      <c r="AA314" s="128"/>
    </row>
    <row r="315" spans="17:27" ht="13.2">
      <c r="Q315" s="119"/>
      <c r="R315" s="119"/>
      <c r="T315" s="128"/>
      <c r="U315" s="128"/>
      <c r="Z315" s="128"/>
      <c r="AA315" s="128"/>
    </row>
    <row r="316" spans="17:27" ht="13.2">
      <c r="Q316" s="119"/>
      <c r="R316" s="119"/>
      <c r="T316" s="128"/>
      <c r="U316" s="128"/>
      <c r="Z316" s="128"/>
      <c r="AA316" s="128"/>
    </row>
    <row r="317" spans="17:27" ht="13.2">
      <c r="Q317" s="119"/>
      <c r="R317" s="119"/>
      <c r="T317" s="128"/>
      <c r="U317" s="128"/>
      <c r="Z317" s="128"/>
      <c r="AA317" s="128"/>
    </row>
    <row r="318" spans="17:27" ht="13.2">
      <c r="Q318" s="119"/>
      <c r="R318" s="119"/>
      <c r="T318" s="128"/>
      <c r="U318" s="128"/>
      <c r="Z318" s="128"/>
      <c r="AA318" s="128"/>
    </row>
    <row r="319" spans="17:27" ht="13.2">
      <c r="Q319" s="119"/>
      <c r="R319" s="119"/>
      <c r="T319" s="128"/>
      <c r="U319" s="128"/>
      <c r="Z319" s="128"/>
      <c r="AA319" s="128"/>
    </row>
    <row r="320" spans="17:27" ht="13.2">
      <c r="Q320" s="119"/>
      <c r="R320" s="119"/>
      <c r="T320" s="128"/>
      <c r="U320" s="128"/>
      <c r="Z320" s="128"/>
      <c r="AA320" s="128"/>
    </row>
    <row r="321" spans="17:27" ht="13.2">
      <c r="Q321" s="119"/>
      <c r="R321" s="119"/>
      <c r="T321" s="128"/>
      <c r="U321" s="128"/>
      <c r="Z321" s="128"/>
      <c r="AA321" s="128"/>
    </row>
    <row r="322" spans="17:27" ht="13.2">
      <c r="Q322" s="119"/>
      <c r="R322" s="119"/>
      <c r="T322" s="128"/>
      <c r="U322" s="128"/>
      <c r="Z322" s="128"/>
      <c r="AA322" s="128"/>
    </row>
    <row r="323" spans="17:27" ht="13.2">
      <c r="Q323" s="119"/>
      <c r="R323" s="119"/>
      <c r="T323" s="128"/>
      <c r="U323" s="128"/>
      <c r="Z323" s="128"/>
      <c r="AA323" s="128"/>
    </row>
    <row r="324" spans="17:27" ht="13.2">
      <c r="Q324" s="119"/>
      <c r="R324" s="119"/>
      <c r="T324" s="128"/>
      <c r="U324" s="128"/>
      <c r="Z324" s="128"/>
      <c r="AA324" s="128"/>
    </row>
    <row r="325" spans="17:27" ht="13.2">
      <c r="Q325" s="119"/>
      <c r="R325" s="119"/>
      <c r="T325" s="128"/>
      <c r="U325" s="128"/>
      <c r="Z325" s="128"/>
      <c r="AA325" s="128"/>
    </row>
    <row r="326" spans="17:27" ht="13.2">
      <c r="Q326" s="119"/>
      <c r="R326" s="119"/>
      <c r="T326" s="128"/>
      <c r="U326" s="128"/>
      <c r="Z326" s="128"/>
      <c r="AA326" s="128"/>
    </row>
    <row r="327" spans="17:27" ht="13.2">
      <c r="Q327" s="119"/>
      <c r="R327" s="119"/>
      <c r="T327" s="128"/>
      <c r="U327" s="128"/>
      <c r="Z327" s="128"/>
      <c r="AA327" s="128"/>
    </row>
    <row r="328" spans="17:27" ht="13.2">
      <c r="Q328" s="119"/>
      <c r="R328" s="119"/>
      <c r="T328" s="128"/>
      <c r="U328" s="128"/>
      <c r="Z328" s="128"/>
      <c r="AA328" s="128"/>
    </row>
    <row r="329" spans="17:27" ht="13.2">
      <c r="Q329" s="119"/>
      <c r="R329" s="119"/>
      <c r="T329" s="128"/>
      <c r="U329" s="128"/>
      <c r="Z329" s="128"/>
      <c r="AA329" s="128"/>
    </row>
    <row r="330" spans="17:27" ht="13.2">
      <c r="Q330" s="119"/>
      <c r="R330" s="119"/>
      <c r="T330" s="128"/>
      <c r="U330" s="128"/>
      <c r="Z330" s="128"/>
      <c r="AA330" s="128"/>
    </row>
    <row r="331" spans="17:27" ht="13.2">
      <c r="Q331" s="119"/>
      <c r="R331" s="119"/>
      <c r="T331" s="128"/>
      <c r="U331" s="128"/>
      <c r="Z331" s="128"/>
      <c r="AA331" s="128"/>
    </row>
    <row r="332" spans="17:27" ht="13.2">
      <c r="Q332" s="119"/>
      <c r="R332" s="119"/>
      <c r="T332" s="128"/>
      <c r="U332" s="128"/>
      <c r="Z332" s="128"/>
      <c r="AA332" s="128"/>
    </row>
    <row r="333" spans="17:27" ht="13.2">
      <c r="Q333" s="119"/>
      <c r="R333" s="119"/>
      <c r="T333" s="128"/>
      <c r="U333" s="128"/>
      <c r="Z333" s="128"/>
      <c r="AA333" s="128"/>
    </row>
    <row r="334" spans="17:27" ht="13.2">
      <c r="Q334" s="119"/>
      <c r="R334" s="119"/>
      <c r="T334" s="128"/>
      <c r="U334" s="128"/>
      <c r="Z334" s="128"/>
      <c r="AA334" s="128"/>
    </row>
    <row r="335" spans="17:27" ht="13.2">
      <c r="Q335" s="119"/>
      <c r="R335" s="119"/>
      <c r="T335" s="128"/>
      <c r="U335" s="128"/>
      <c r="Z335" s="128"/>
      <c r="AA335" s="128"/>
    </row>
    <row r="336" spans="17:27" ht="13.2">
      <c r="Q336" s="119"/>
      <c r="R336" s="119"/>
      <c r="T336" s="128"/>
      <c r="U336" s="128"/>
      <c r="Z336" s="128"/>
      <c r="AA336" s="128"/>
    </row>
    <row r="337" spans="17:27" ht="13.2">
      <c r="Q337" s="119"/>
      <c r="R337" s="119"/>
      <c r="T337" s="128"/>
      <c r="U337" s="128"/>
      <c r="Z337" s="128"/>
      <c r="AA337" s="128"/>
    </row>
    <row r="338" spans="17:27" ht="13.2">
      <c r="Q338" s="119"/>
      <c r="R338" s="119"/>
      <c r="T338" s="128"/>
      <c r="U338" s="128"/>
      <c r="Z338" s="128"/>
      <c r="AA338" s="128"/>
    </row>
    <row r="339" spans="17:27" ht="13.2">
      <c r="Q339" s="119"/>
      <c r="R339" s="119"/>
      <c r="T339" s="128"/>
      <c r="U339" s="128"/>
      <c r="Z339" s="128"/>
      <c r="AA339" s="128"/>
    </row>
    <row r="340" spans="17:27" ht="13.2">
      <c r="Q340" s="119"/>
      <c r="R340" s="119"/>
      <c r="T340" s="128"/>
      <c r="U340" s="128"/>
      <c r="Z340" s="128"/>
      <c r="AA340" s="128"/>
    </row>
    <row r="341" spans="17:27" ht="13.2">
      <c r="Q341" s="119"/>
      <c r="R341" s="119"/>
      <c r="T341" s="128"/>
      <c r="U341" s="128"/>
      <c r="Z341" s="128"/>
      <c r="AA341" s="128"/>
    </row>
    <row r="342" spans="17:27" ht="13.2">
      <c r="Q342" s="119"/>
      <c r="R342" s="119"/>
      <c r="T342" s="128"/>
      <c r="U342" s="128"/>
      <c r="Z342" s="128"/>
      <c r="AA342" s="128"/>
    </row>
    <row r="343" spans="17:27" ht="13.2">
      <c r="Q343" s="119"/>
      <c r="R343" s="119"/>
      <c r="T343" s="128"/>
      <c r="U343" s="128"/>
      <c r="Z343" s="128"/>
      <c r="AA343" s="128"/>
    </row>
    <row r="344" spans="17:27" ht="13.2">
      <c r="Q344" s="119"/>
      <c r="R344" s="119"/>
      <c r="T344" s="128"/>
      <c r="U344" s="128"/>
      <c r="Z344" s="128"/>
      <c r="AA344" s="128"/>
    </row>
    <row r="345" spans="17:27" ht="13.2">
      <c r="Q345" s="119"/>
      <c r="R345" s="119"/>
      <c r="T345" s="128"/>
      <c r="U345" s="128"/>
      <c r="Z345" s="128"/>
      <c r="AA345" s="128"/>
    </row>
    <row r="346" spans="17:27" ht="13.2">
      <c r="Q346" s="119"/>
      <c r="R346" s="119"/>
      <c r="T346" s="128"/>
      <c r="U346" s="128"/>
      <c r="Z346" s="128"/>
      <c r="AA346" s="128"/>
    </row>
    <row r="347" spans="17:27" ht="13.2">
      <c r="Q347" s="119"/>
      <c r="R347" s="119"/>
      <c r="T347" s="128"/>
      <c r="U347" s="128"/>
      <c r="Z347" s="128"/>
      <c r="AA347" s="128"/>
    </row>
    <row r="348" spans="17:27" ht="13.2">
      <c r="Q348" s="119"/>
      <c r="R348" s="119"/>
      <c r="T348" s="128"/>
      <c r="U348" s="128"/>
      <c r="Z348" s="128"/>
      <c r="AA348" s="128"/>
    </row>
    <row r="349" spans="17:27" ht="13.2">
      <c r="Q349" s="119"/>
      <c r="R349" s="119"/>
      <c r="T349" s="128"/>
      <c r="U349" s="128"/>
      <c r="Z349" s="128"/>
      <c r="AA349" s="128"/>
    </row>
    <row r="350" spans="17:27" ht="13.2">
      <c r="Q350" s="119"/>
      <c r="R350" s="119"/>
      <c r="T350" s="128"/>
      <c r="U350" s="128"/>
      <c r="Z350" s="128"/>
      <c r="AA350" s="128"/>
    </row>
    <row r="351" spans="17:27" ht="13.2">
      <c r="Q351" s="119"/>
      <c r="R351" s="119"/>
      <c r="T351" s="128"/>
      <c r="U351" s="128"/>
      <c r="Z351" s="128"/>
      <c r="AA351" s="128"/>
    </row>
    <row r="352" spans="17:27" ht="13.2">
      <c r="Q352" s="119"/>
      <c r="R352" s="119"/>
      <c r="T352" s="128"/>
      <c r="U352" s="128"/>
      <c r="Z352" s="128"/>
      <c r="AA352" s="128"/>
    </row>
    <row r="353" spans="17:27" ht="13.2">
      <c r="Q353" s="119"/>
      <c r="R353" s="119"/>
      <c r="T353" s="128"/>
      <c r="U353" s="128"/>
      <c r="Z353" s="128"/>
      <c r="AA353" s="128"/>
    </row>
    <row r="354" spans="17:27" ht="13.2">
      <c r="Q354" s="119"/>
      <c r="R354" s="119"/>
      <c r="T354" s="128"/>
      <c r="U354" s="128"/>
      <c r="Z354" s="128"/>
      <c r="AA354" s="128"/>
    </row>
    <row r="355" spans="17:27" ht="13.2">
      <c r="Q355" s="119"/>
      <c r="R355" s="119"/>
      <c r="T355" s="128"/>
      <c r="U355" s="128"/>
      <c r="Z355" s="128"/>
      <c r="AA355" s="128"/>
    </row>
    <row r="356" spans="17:27" ht="13.2">
      <c r="Q356" s="119"/>
      <c r="R356" s="119"/>
      <c r="T356" s="128"/>
      <c r="U356" s="128"/>
      <c r="Z356" s="128"/>
      <c r="AA356" s="128"/>
    </row>
    <row r="357" spans="17:27" ht="13.2">
      <c r="Q357" s="119"/>
      <c r="R357" s="119"/>
      <c r="T357" s="128"/>
      <c r="U357" s="128"/>
      <c r="Z357" s="128"/>
      <c r="AA357" s="128"/>
    </row>
    <row r="358" spans="17:27" ht="13.2">
      <c r="Q358" s="119"/>
      <c r="R358" s="119"/>
      <c r="T358" s="128"/>
      <c r="U358" s="128"/>
      <c r="Z358" s="128"/>
      <c r="AA358" s="128"/>
    </row>
    <row r="359" spans="17:27" ht="13.2">
      <c r="Q359" s="119"/>
      <c r="R359" s="119"/>
      <c r="T359" s="128"/>
      <c r="U359" s="128"/>
      <c r="Z359" s="128"/>
      <c r="AA359" s="128"/>
    </row>
    <row r="360" spans="17:27" ht="13.2">
      <c r="Q360" s="119"/>
      <c r="R360" s="119"/>
      <c r="T360" s="128"/>
      <c r="U360" s="128"/>
      <c r="Z360" s="128"/>
      <c r="AA360" s="128"/>
    </row>
    <row r="361" spans="17:27" ht="13.2">
      <c r="Q361" s="119"/>
      <c r="R361" s="119"/>
      <c r="T361" s="128"/>
      <c r="U361" s="128"/>
      <c r="Z361" s="128"/>
      <c r="AA361" s="128"/>
    </row>
    <row r="362" spans="17:27" ht="13.2">
      <c r="Q362" s="119"/>
      <c r="R362" s="119"/>
      <c r="T362" s="128"/>
      <c r="U362" s="128"/>
      <c r="Z362" s="128"/>
      <c r="AA362" s="128"/>
    </row>
    <row r="363" spans="17:27" ht="13.2">
      <c r="Q363" s="119"/>
      <c r="R363" s="119"/>
      <c r="T363" s="128"/>
      <c r="U363" s="128"/>
      <c r="Z363" s="128"/>
      <c r="AA363" s="128"/>
    </row>
    <row r="364" spans="17:27" ht="13.2">
      <c r="Q364" s="119"/>
      <c r="R364" s="119"/>
      <c r="T364" s="128"/>
      <c r="U364" s="128"/>
      <c r="Z364" s="128"/>
      <c r="AA364" s="128"/>
    </row>
    <row r="365" spans="17:27" ht="13.2">
      <c r="Q365" s="119"/>
      <c r="R365" s="119"/>
      <c r="T365" s="128"/>
      <c r="U365" s="128"/>
      <c r="Z365" s="128"/>
      <c r="AA365" s="128"/>
    </row>
    <row r="366" spans="17:27" ht="13.2">
      <c r="Q366" s="119"/>
      <c r="R366" s="119"/>
      <c r="T366" s="128"/>
      <c r="U366" s="128"/>
      <c r="Z366" s="128"/>
      <c r="AA366" s="128"/>
    </row>
    <row r="367" spans="17:27" ht="13.2">
      <c r="Q367" s="119"/>
      <c r="R367" s="119"/>
      <c r="T367" s="128"/>
      <c r="U367" s="128"/>
      <c r="Z367" s="128"/>
      <c r="AA367" s="128"/>
    </row>
    <row r="368" spans="17:27" ht="13.2">
      <c r="Q368" s="119"/>
      <c r="R368" s="119"/>
      <c r="T368" s="128"/>
      <c r="U368" s="128"/>
      <c r="Z368" s="128"/>
      <c r="AA368" s="128"/>
    </row>
    <row r="369" spans="17:27" ht="13.2">
      <c r="Q369" s="119"/>
      <c r="R369" s="119"/>
      <c r="T369" s="128"/>
      <c r="U369" s="128"/>
      <c r="Z369" s="128"/>
      <c r="AA369" s="128"/>
    </row>
    <row r="370" spans="17:27" ht="13.2">
      <c r="Q370" s="119"/>
      <c r="R370" s="119"/>
      <c r="T370" s="128"/>
      <c r="U370" s="128"/>
      <c r="Z370" s="128"/>
      <c r="AA370" s="128"/>
    </row>
    <row r="371" spans="17:27" ht="13.2">
      <c r="Q371" s="119"/>
      <c r="R371" s="119"/>
      <c r="T371" s="128"/>
      <c r="U371" s="128"/>
      <c r="Z371" s="128"/>
      <c r="AA371" s="128"/>
    </row>
    <row r="372" spans="17:27" ht="13.2">
      <c r="Q372" s="119"/>
      <c r="R372" s="119"/>
      <c r="T372" s="128"/>
      <c r="U372" s="128"/>
      <c r="Z372" s="128"/>
      <c r="AA372" s="128"/>
    </row>
    <row r="373" spans="17:27" ht="13.2">
      <c r="Q373" s="119"/>
      <c r="R373" s="119"/>
      <c r="T373" s="128"/>
      <c r="U373" s="128"/>
      <c r="Z373" s="128"/>
      <c r="AA373" s="128"/>
    </row>
    <row r="374" spans="17:27" ht="13.2">
      <c r="Q374" s="119"/>
      <c r="R374" s="119"/>
      <c r="T374" s="128"/>
      <c r="U374" s="128"/>
      <c r="Z374" s="128"/>
      <c r="AA374" s="128"/>
    </row>
    <row r="375" spans="17:27" ht="13.2">
      <c r="Q375" s="119"/>
      <c r="R375" s="119"/>
      <c r="T375" s="128"/>
      <c r="U375" s="128"/>
      <c r="Z375" s="128"/>
      <c r="AA375" s="128"/>
    </row>
    <row r="376" spans="17:27" ht="13.2">
      <c r="Q376" s="119"/>
      <c r="R376" s="119"/>
      <c r="T376" s="128"/>
      <c r="U376" s="128"/>
      <c r="Z376" s="128"/>
      <c r="AA376" s="128"/>
    </row>
    <row r="377" spans="17:27" ht="13.2">
      <c r="Q377" s="119"/>
      <c r="R377" s="119"/>
      <c r="T377" s="128"/>
      <c r="U377" s="128"/>
      <c r="Z377" s="128"/>
      <c r="AA377" s="128"/>
    </row>
    <row r="378" spans="17:27" ht="13.2">
      <c r="Q378" s="119"/>
      <c r="R378" s="119"/>
      <c r="T378" s="128"/>
      <c r="U378" s="128"/>
      <c r="Z378" s="128"/>
      <c r="AA378" s="128"/>
    </row>
    <row r="379" spans="17:27" ht="13.2">
      <c r="Q379" s="119"/>
      <c r="R379" s="119"/>
      <c r="T379" s="128"/>
      <c r="U379" s="128"/>
      <c r="Z379" s="128"/>
      <c r="AA379" s="128"/>
    </row>
    <row r="380" spans="17:27" ht="13.2">
      <c r="Q380" s="119"/>
      <c r="R380" s="119"/>
      <c r="T380" s="128"/>
      <c r="U380" s="128"/>
      <c r="Z380" s="128"/>
      <c r="AA380" s="128"/>
    </row>
    <row r="381" spans="17:27" ht="13.2">
      <c r="Q381" s="119"/>
      <c r="R381" s="119"/>
      <c r="T381" s="128"/>
      <c r="U381" s="128"/>
      <c r="Z381" s="128"/>
      <c r="AA381" s="128"/>
    </row>
    <row r="382" spans="17:27" ht="13.2">
      <c r="Q382" s="119"/>
      <c r="R382" s="119"/>
      <c r="T382" s="128"/>
      <c r="U382" s="128"/>
      <c r="Z382" s="128"/>
      <c r="AA382" s="128"/>
    </row>
    <row r="383" spans="17:27" ht="13.2">
      <c r="Q383" s="119"/>
      <c r="R383" s="119"/>
      <c r="T383" s="128"/>
      <c r="U383" s="128"/>
      <c r="Z383" s="128"/>
      <c r="AA383" s="128"/>
    </row>
    <row r="384" spans="17:27" ht="13.2">
      <c r="Q384" s="119"/>
      <c r="R384" s="119"/>
      <c r="T384" s="128"/>
      <c r="U384" s="128"/>
      <c r="Z384" s="128"/>
      <c r="AA384" s="128"/>
    </row>
    <row r="385" spans="17:27" ht="13.2">
      <c r="Q385" s="119"/>
      <c r="R385" s="119"/>
      <c r="T385" s="128"/>
      <c r="U385" s="128"/>
      <c r="Z385" s="128"/>
      <c r="AA385" s="128"/>
    </row>
    <row r="386" spans="17:27" ht="13.2">
      <c r="Q386" s="119"/>
      <c r="R386" s="119"/>
      <c r="T386" s="128"/>
      <c r="U386" s="128"/>
      <c r="Z386" s="128"/>
      <c r="AA386" s="128"/>
    </row>
    <row r="387" spans="17:27" ht="13.2">
      <c r="Q387" s="119"/>
      <c r="R387" s="119"/>
      <c r="T387" s="128"/>
      <c r="U387" s="128"/>
      <c r="Z387" s="128"/>
      <c r="AA387" s="128"/>
    </row>
    <row r="388" spans="17:27" ht="13.2">
      <c r="Q388" s="119"/>
      <c r="R388" s="119"/>
      <c r="T388" s="128"/>
      <c r="U388" s="128"/>
      <c r="Z388" s="128"/>
      <c r="AA388" s="128"/>
    </row>
    <row r="389" spans="17:27" ht="13.2">
      <c r="Q389" s="119"/>
      <c r="R389" s="119"/>
      <c r="T389" s="128"/>
      <c r="U389" s="128"/>
      <c r="Z389" s="128"/>
      <c r="AA389" s="128"/>
    </row>
    <row r="390" spans="17:27" ht="13.2">
      <c r="Q390" s="119"/>
      <c r="R390" s="119"/>
      <c r="T390" s="128"/>
      <c r="U390" s="128"/>
      <c r="Z390" s="128"/>
      <c r="AA390" s="128"/>
    </row>
    <row r="391" spans="17:27" ht="13.2">
      <c r="Q391" s="119"/>
      <c r="R391" s="119"/>
      <c r="T391" s="128"/>
      <c r="U391" s="128"/>
      <c r="Z391" s="128"/>
      <c r="AA391" s="128"/>
    </row>
    <row r="392" spans="17:27" ht="13.2">
      <c r="Q392" s="119"/>
      <c r="R392" s="119"/>
      <c r="T392" s="128"/>
      <c r="U392" s="128"/>
      <c r="Z392" s="128"/>
      <c r="AA392" s="128"/>
    </row>
    <row r="393" spans="17:27" ht="13.2">
      <c r="Q393" s="119"/>
      <c r="R393" s="119"/>
      <c r="T393" s="128"/>
      <c r="U393" s="128"/>
      <c r="Z393" s="128"/>
      <c r="AA393" s="128"/>
    </row>
    <row r="394" spans="17:27" ht="13.2">
      <c r="Q394" s="119"/>
      <c r="R394" s="119"/>
      <c r="T394" s="128"/>
      <c r="U394" s="128"/>
      <c r="Z394" s="128"/>
      <c r="AA394" s="128"/>
    </row>
    <row r="395" spans="17:27" ht="13.2">
      <c r="Q395" s="119"/>
      <c r="R395" s="119"/>
      <c r="T395" s="128"/>
      <c r="U395" s="128"/>
      <c r="Z395" s="128"/>
      <c r="AA395" s="128"/>
    </row>
    <row r="396" spans="17:27" ht="13.2">
      <c r="Q396" s="119"/>
      <c r="R396" s="119"/>
      <c r="T396" s="128"/>
      <c r="U396" s="128"/>
      <c r="Z396" s="128"/>
      <c r="AA396" s="128"/>
    </row>
    <row r="397" spans="17:27" ht="13.2">
      <c r="Q397" s="119"/>
      <c r="R397" s="119"/>
      <c r="T397" s="128"/>
      <c r="U397" s="128"/>
      <c r="Z397" s="128"/>
      <c r="AA397" s="128"/>
    </row>
    <row r="398" spans="17:27" ht="13.2">
      <c r="Q398" s="119"/>
      <c r="R398" s="119"/>
      <c r="T398" s="128"/>
      <c r="U398" s="128"/>
      <c r="Z398" s="128"/>
      <c r="AA398" s="128"/>
    </row>
    <row r="399" spans="17:27" ht="13.2">
      <c r="Q399" s="119"/>
      <c r="R399" s="119"/>
      <c r="T399" s="128"/>
      <c r="U399" s="128"/>
      <c r="Z399" s="128"/>
      <c r="AA399" s="128"/>
    </row>
    <row r="400" spans="17:27" ht="13.2">
      <c r="Q400" s="119"/>
      <c r="R400" s="119"/>
      <c r="T400" s="128"/>
      <c r="U400" s="128"/>
      <c r="Z400" s="128"/>
      <c r="AA400" s="128"/>
    </row>
    <row r="401" spans="17:27" ht="13.2">
      <c r="Q401" s="119"/>
      <c r="R401" s="119"/>
      <c r="T401" s="128"/>
      <c r="U401" s="128"/>
      <c r="Z401" s="128"/>
      <c r="AA401" s="128"/>
    </row>
    <row r="402" spans="17:27" ht="13.2">
      <c r="Q402" s="119"/>
      <c r="R402" s="119"/>
      <c r="T402" s="128"/>
      <c r="U402" s="128"/>
      <c r="Z402" s="128"/>
      <c r="AA402" s="128"/>
    </row>
    <row r="403" spans="17:27" ht="13.2">
      <c r="Q403" s="119"/>
      <c r="R403" s="119"/>
      <c r="T403" s="128"/>
      <c r="U403" s="128"/>
      <c r="Z403" s="128"/>
      <c r="AA403" s="128"/>
    </row>
    <row r="404" spans="17:27" ht="13.2">
      <c r="Q404" s="119"/>
      <c r="R404" s="119"/>
      <c r="T404" s="128"/>
      <c r="U404" s="128"/>
      <c r="Z404" s="128"/>
      <c r="AA404" s="128"/>
    </row>
    <row r="405" spans="17:27" ht="13.2">
      <c r="Q405" s="119"/>
      <c r="R405" s="119"/>
      <c r="T405" s="128"/>
      <c r="U405" s="128"/>
      <c r="Z405" s="128"/>
      <c r="AA405" s="128"/>
    </row>
    <row r="406" spans="17:27" ht="13.2">
      <c r="Q406" s="119"/>
      <c r="R406" s="119"/>
      <c r="T406" s="128"/>
      <c r="U406" s="128"/>
      <c r="Z406" s="128"/>
      <c r="AA406" s="128"/>
    </row>
    <row r="407" spans="17:27" ht="13.2">
      <c r="Q407" s="119"/>
      <c r="R407" s="119"/>
      <c r="T407" s="128"/>
      <c r="U407" s="128"/>
      <c r="Z407" s="128"/>
      <c r="AA407" s="128"/>
    </row>
    <row r="408" spans="17:27" ht="13.2">
      <c r="Q408" s="119"/>
      <c r="R408" s="119"/>
      <c r="T408" s="128"/>
      <c r="U408" s="128"/>
      <c r="Z408" s="128"/>
      <c r="AA408" s="128"/>
    </row>
    <row r="409" spans="17:27" ht="13.2">
      <c r="Q409" s="119"/>
      <c r="R409" s="119"/>
      <c r="T409" s="128"/>
      <c r="U409" s="128"/>
      <c r="Z409" s="128"/>
      <c r="AA409" s="128"/>
    </row>
    <row r="410" spans="17:27" ht="13.2">
      <c r="Q410" s="119"/>
      <c r="R410" s="119"/>
      <c r="T410" s="128"/>
      <c r="U410" s="128"/>
      <c r="Z410" s="128"/>
      <c r="AA410" s="128"/>
    </row>
    <row r="411" spans="17:27" ht="13.2">
      <c r="Q411" s="119"/>
      <c r="R411" s="119"/>
      <c r="T411" s="128"/>
      <c r="U411" s="128"/>
      <c r="Z411" s="128"/>
      <c r="AA411" s="128"/>
    </row>
    <row r="412" spans="17:27" ht="13.2">
      <c r="Q412" s="119"/>
      <c r="R412" s="119"/>
      <c r="T412" s="128"/>
      <c r="U412" s="128"/>
      <c r="Z412" s="128"/>
      <c r="AA412" s="128"/>
    </row>
    <row r="413" spans="17:27" ht="13.2">
      <c r="Q413" s="119"/>
      <c r="R413" s="119"/>
      <c r="T413" s="128"/>
      <c r="U413" s="128"/>
      <c r="Z413" s="128"/>
      <c r="AA413" s="128"/>
    </row>
    <row r="414" spans="17:27" ht="13.2">
      <c r="Q414" s="119"/>
      <c r="R414" s="119"/>
      <c r="T414" s="128"/>
      <c r="U414" s="128"/>
      <c r="Z414" s="128"/>
      <c r="AA414" s="128"/>
    </row>
    <row r="415" spans="17:27" ht="13.2">
      <c r="Q415" s="119"/>
      <c r="R415" s="119"/>
      <c r="T415" s="128"/>
      <c r="U415" s="128"/>
      <c r="Z415" s="128"/>
      <c r="AA415" s="128"/>
    </row>
    <row r="416" spans="17:27" ht="13.2">
      <c r="Q416" s="119"/>
      <c r="R416" s="119"/>
      <c r="T416" s="128"/>
      <c r="U416" s="128"/>
      <c r="Z416" s="128"/>
      <c r="AA416" s="128"/>
    </row>
    <row r="417" spans="17:27" ht="13.2">
      <c r="Q417" s="119"/>
      <c r="R417" s="119"/>
      <c r="T417" s="128"/>
      <c r="U417" s="128"/>
      <c r="Z417" s="128"/>
      <c r="AA417" s="128"/>
    </row>
    <row r="418" spans="17:27" ht="13.2">
      <c r="Q418" s="119"/>
      <c r="R418" s="119"/>
      <c r="T418" s="128"/>
      <c r="U418" s="128"/>
      <c r="Z418" s="128"/>
      <c r="AA418" s="128"/>
    </row>
    <row r="419" spans="17:27" ht="13.2">
      <c r="Q419" s="119"/>
      <c r="R419" s="119"/>
      <c r="T419" s="128"/>
      <c r="U419" s="128"/>
      <c r="Z419" s="128"/>
      <c r="AA419" s="128"/>
    </row>
    <row r="420" spans="17:27" ht="13.2">
      <c r="Q420" s="119"/>
      <c r="R420" s="119"/>
      <c r="T420" s="128"/>
      <c r="U420" s="128"/>
      <c r="Z420" s="128"/>
      <c r="AA420" s="128"/>
    </row>
    <row r="421" spans="17:27" ht="13.2">
      <c r="Q421" s="119"/>
      <c r="R421" s="119"/>
      <c r="T421" s="128"/>
      <c r="U421" s="128"/>
      <c r="Z421" s="128"/>
      <c r="AA421" s="128"/>
    </row>
    <row r="422" spans="17:27" ht="13.2">
      <c r="Q422" s="119"/>
      <c r="R422" s="119"/>
      <c r="T422" s="128"/>
      <c r="U422" s="128"/>
      <c r="Z422" s="128"/>
      <c r="AA422" s="128"/>
    </row>
    <row r="423" spans="17:27" ht="13.2">
      <c r="Q423" s="119"/>
      <c r="R423" s="119"/>
      <c r="T423" s="128"/>
      <c r="U423" s="128"/>
      <c r="Z423" s="128"/>
      <c r="AA423" s="128"/>
    </row>
    <row r="424" spans="17:27" ht="13.2">
      <c r="Q424" s="119"/>
      <c r="R424" s="119"/>
      <c r="T424" s="128"/>
      <c r="U424" s="128"/>
      <c r="Z424" s="128"/>
      <c r="AA424" s="128"/>
    </row>
    <row r="425" spans="17:27" ht="13.2">
      <c r="Q425" s="119"/>
      <c r="R425" s="119"/>
      <c r="T425" s="128"/>
      <c r="U425" s="128"/>
      <c r="Z425" s="128"/>
      <c r="AA425" s="128"/>
    </row>
    <row r="426" spans="17:27" ht="13.2">
      <c r="Q426" s="119"/>
      <c r="R426" s="119"/>
      <c r="T426" s="128"/>
      <c r="U426" s="128"/>
      <c r="Z426" s="128"/>
      <c r="AA426" s="128"/>
    </row>
    <row r="427" spans="17:27" ht="13.2">
      <c r="Q427" s="119"/>
      <c r="R427" s="119"/>
      <c r="T427" s="128"/>
      <c r="U427" s="128"/>
      <c r="Z427" s="128"/>
      <c r="AA427" s="128"/>
    </row>
    <row r="428" spans="17:27" ht="13.2">
      <c r="Q428" s="119"/>
      <c r="R428" s="119"/>
      <c r="T428" s="128"/>
      <c r="U428" s="128"/>
      <c r="Z428" s="128"/>
      <c r="AA428" s="128"/>
    </row>
    <row r="429" spans="17:27" ht="13.2">
      <c r="Q429" s="119"/>
      <c r="R429" s="119"/>
      <c r="T429" s="128"/>
      <c r="U429" s="128"/>
      <c r="Z429" s="128"/>
      <c r="AA429" s="128"/>
    </row>
    <row r="430" spans="17:27" ht="13.2">
      <c r="Q430" s="119"/>
      <c r="R430" s="119"/>
      <c r="T430" s="128"/>
      <c r="U430" s="128"/>
      <c r="Z430" s="128"/>
      <c r="AA430" s="128"/>
    </row>
    <row r="431" spans="17:27" ht="13.2">
      <c r="Q431" s="119"/>
      <c r="R431" s="119"/>
      <c r="T431" s="128"/>
      <c r="U431" s="128"/>
      <c r="Z431" s="128"/>
      <c r="AA431" s="128"/>
    </row>
    <row r="432" spans="17:27" ht="13.2">
      <c r="Q432" s="119"/>
      <c r="R432" s="119"/>
      <c r="T432" s="128"/>
      <c r="U432" s="128"/>
      <c r="Z432" s="128"/>
      <c r="AA432" s="128"/>
    </row>
    <row r="433" spans="17:27" ht="13.2">
      <c r="Q433" s="119"/>
      <c r="R433" s="119"/>
      <c r="T433" s="128"/>
      <c r="U433" s="128"/>
      <c r="Z433" s="128"/>
      <c r="AA433" s="128"/>
    </row>
    <row r="434" spans="17:27" ht="13.2">
      <c r="Q434" s="119"/>
      <c r="R434" s="119"/>
      <c r="T434" s="128"/>
      <c r="U434" s="128"/>
      <c r="Z434" s="128"/>
      <c r="AA434" s="128"/>
    </row>
    <row r="435" spans="17:27" ht="13.2">
      <c r="Q435" s="119"/>
      <c r="R435" s="119"/>
      <c r="T435" s="128"/>
      <c r="U435" s="128"/>
      <c r="Z435" s="128"/>
      <c r="AA435" s="128"/>
    </row>
    <row r="436" spans="17:27" ht="13.2">
      <c r="Q436" s="119"/>
      <c r="R436" s="119"/>
      <c r="T436" s="128"/>
      <c r="U436" s="128"/>
      <c r="Z436" s="128"/>
      <c r="AA436" s="128"/>
    </row>
    <row r="437" spans="17:27" ht="13.2">
      <c r="Q437" s="119"/>
      <c r="R437" s="119"/>
      <c r="T437" s="128"/>
      <c r="U437" s="128"/>
      <c r="Z437" s="128"/>
      <c r="AA437" s="128"/>
    </row>
    <row r="438" spans="17:27" ht="13.2">
      <c r="Q438" s="119"/>
      <c r="R438" s="119"/>
      <c r="T438" s="128"/>
      <c r="U438" s="128"/>
      <c r="Z438" s="128"/>
      <c r="AA438" s="128"/>
    </row>
    <row r="439" spans="17:27" ht="13.2">
      <c r="Q439" s="119"/>
      <c r="R439" s="119"/>
      <c r="T439" s="128"/>
      <c r="U439" s="128"/>
      <c r="Z439" s="128"/>
      <c r="AA439" s="128"/>
    </row>
    <row r="440" spans="17:27" ht="13.2">
      <c r="Q440" s="119"/>
      <c r="R440" s="119"/>
      <c r="T440" s="128"/>
      <c r="U440" s="128"/>
      <c r="Z440" s="128"/>
      <c r="AA440" s="128"/>
    </row>
    <row r="441" spans="17:27" ht="13.2">
      <c r="Q441" s="119"/>
      <c r="R441" s="119"/>
      <c r="T441" s="128"/>
      <c r="U441" s="128"/>
      <c r="Z441" s="128"/>
      <c r="AA441" s="128"/>
    </row>
    <row r="442" spans="17:27" ht="13.2">
      <c r="Q442" s="119"/>
      <c r="R442" s="119"/>
      <c r="T442" s="128"/>
      <c r="U442" s="128"/>
      <c r="Z442" s="128"/>
      <c r="AA442" s="128"/>
    </row>
    <row r="443" spans="17:27" ht="13.2">
      <c r="Q443" s="119"/>
      <c r="R443" s="119"/>
      <c r="T443" s="128"/>
      <c r="U443" s="128"/>
      <c r="Z443" s="128"/>
      <c r="AA443" s="128"/>
    </row>
    <row r="444" spans="17:27" ht="13.2">
      <c r="Q444" s="119"/>
      <c r="R444" s="119"/>
      <c r="T444" s="128"/>
      <c r="U444" s="128"/>
      <c r="Z444" s="128"/>
      <c r="AA444" s="128"/>
    </row>
    <row r="445" spans="17:27" ht="13.2">
      <c r="Q445" s="119"/>
      <c r="R445" s="119"/>
      <c r="T445" s="128"/>
      <c r="U445" s="128"/>
      <c r="Z445" s="128"/>
      <c r="AA445" s="128"/>
    </row>
    <row r="446" spans="17:27" ht="13.2">
      <c r="Q446" s="119"/>
      <c r="R446" s="119"/>
      <c r="T446" s="128"/>
      <c r="U446" s="128"/>
      <c r="Z446" s="128"/>
      <c r="AA446" s="128"/>
    </row>
    <row r="447" spans="17:27" ht="13.2">
      <c r="Q447" s="119"/>
      <c r="R447" s="119"/>
      <c r="T447" s="128"/>
      <c r="U447" s="128"/>
      <c r="Z447" s="128"/>
      <c r="AA447" s="128"/>
    </row>
    <row r="448" spans="17:27" ht="13.2">
      <c r="Q448" s="119"/>
      <c r="R448" s="119"/>
      <c r="T448" s="128"/>
      <c r="U448" s="128"/>
      <c r="Z448" s="128"/>
      <c r="AA448" s="128"/>
    </row>
    <row r="449" spans="17:27" ht="13.2">
      <c r="Q449" s="119"/>
      <c r="R449" s="119"/>
      <c r="T449" s="128"/>
      <c r="U449" s="128"/>
      <c r="Z449" s="128"/>
      <c r="AA449" s="128"/>
    </row>
    <row r="450" spans="17:27" ht="13.2">
      <c r="Q450" s="119"/>
      <c r="R450" s="119"/>
      <c r="T450" s="128"/>
      <c r="U450" s="128"/>
      <c r="Z450" s="128"/>
      <c r="AA450" s="128"/>
    </row>
    <row r="451" spans="17:27" ht="13.2">
      <c r="Q451" s="119"/>
      <c r="R451" s="119"/>
      <c r="T451" s="128"/>
      <c r="U451" s="128"/>
      <c r="Z451" s="128"/>
      <c r="AA451" s="128"/>
    </row>
    <row r="452" spans="17:27" ht="13.2">
      <c r="Q452" s="119"/>
      <c r="R452" s="119"/>
      <c r="T452" s="128"/>
      <c r="U452" s="128"/>
      <c r="Z452" s="128"/>
      <c r="AA452" s="128"/>
    </row>
    <row r="453" spans="17:27" ht="13.2">
      <c r="Q453" s="119"/>
      <c r="R453" s="119"/>
      <c r="T453" s="128"/>
      <c r="U453" s="128"/>
      <c r="Z453" s="128"/>
      <c r="AA453" s="128"/>
    </row>
    <row r="454" spans="17:27" ht="13.2">
      <c r="Q454" s="119"/>
      <c r="R454" s="119"/>
      <c r="T454" s="128"/>
      <c r="U454" s="128"/>
      <c r="Z454" s="128"/>
      <c r="AA454" s="128"/>
    </row>
    <row r="455" spans="17:27" ht="13.2">
      <c r="Q455" s="119"/>
      <c r="R455" s="119"/>
      <c r="T455" s="128"/>
      <c r="U455" s="128"/>
      <c r="Z455" s="128"/>
      <c r="AA455" s="128"/>
    </row>
    <row r="456" spans="17:27" ht="13.2">
      <c r="Q456" s="119"/>
      <c r="R456" s="119"/>
      <c r="T456" s="128"/>
      <c r="U456" s="128"/>
      <c r="Z456" s="128"/>
      <c r="AA456" s="128"/>
    </row>
    <row r="457" spans="17:27" ht="13.2">
      <c r="Q457" s="119"/>
      <c r="R457" s="119"/>
      <c r="T457" s="128"/>
      <c r="U457" s="128"/>
      <c r="Z457" s="128"/>
      <c r="AA457" s="128"/>
    </row>
    <row r="458" spans="17:27" ht="13.2">
      <c r="Q458" s="119"/>
      <c r="R458" s="119"/>
      <c r="T458" s="128"/>
      <c r="U458" s="128"/>
      <c r="Z458" s="128"/>
      <c r="AA458" s="128"/>
    </row>
    <row r="459" spans="17:27" ht="13.2">
      <c r="Q459" s="119"/>
      <c r="R459" s="119"/>
      <c r="T459" s="128"/>
      <c r="U459" s="128"/>
      <c r="Z459" s="128"/>
      <c r="AA459" s="128"/>
    </row>
    <row r="460" spans="17:27" ht="13.2">
      <c r="Q460" s="119"/>
      <c r="R460" s="119"/>
      <c r="T460" s="128"/>
      <c r="U460" s="128"/>
      <c r="Z460" s="128"/>
      <c r="AA460" s="128"/>
    </row>
    <row r="461" spans="17:27" ht="13.2">
      <c r="Q461" s="119"/>
      <c r="R461" s="119"/>
      <c r="T461" s="128"/>
      <c r="U461" s="128"/>
      <c r="Z461" s="128"/>
      <c r="AA461" s="128"/>
    </row>
    <row r="462" spans="17:27" ht="13.2">
      <c r="Q462" s="119"/>
      <c r="R462" s="119"/>
      <c r="T462" s="128"/>
      <c r="U462" s="128"/>
      <c r="Z462" s="128"/>
      <c r="AA462" s="128"/>
    </row>
    <row r="463" spans="17:27" ht="13.2">
      <c r="Q463" s="119"/>
      <c r="R463" s="119"/>
      <c r="T463" s="128"/>
      <c r="U463" s="128"/>
      <c r="Z463" s="128"/>
      <c r="AA463" s="128"/>
    </row>
    <row r="464" spans="17:27" ht="13.2">
      <c r="Q464" s="119"/>
      <c r="R464" s="119"/>
      <c r="T464" s="128"/>
      <c r="U464" s="128"/>
      <c r="Z464" s="128"/>
      <c r="AA464" s="128"/>
    </row>
    <row r="465" spans="17:27" ht="13.2">
      <c r="Q465" s="119"/>
      <c r="R465" s="119"/>
      <c r="T465" s="128"/>
      <c r="U465" s="128"/>
      <c r="Z465" s="128"/>
      <c r="AA465" s="128"/>
    </row>
    <row r="466" spans="17:27" ht="13.2">
      <c r="Q466" s="119"/>
      <c r="R466" s="119"/>
      <c r="T466" s="128"/>
      <c r="U466" s="128"/>
      <c r="Z466" s="128"/>
      <c r="AA466" s="128"/>
    </row>
    <row r="467" spans="17:27" ht="13.2">
      <c r="Q467" s="119"/>
      <c r="R467" s="119"/>
      <c r="T467" s="128"/>
      <c r="U467" s="128"/>
      <c r="Z467" s="128"/>
      <c r="AA467" s="128"/>
    </row>
    <row r="468" spans="17:27" ht="13.2">
      <c r="Q468" s="119"/>
      <c r="R468" s="119"/>
      <c r="T468" s="128"/>
      <c r="U468" s="128"/>
      <c r="Z468" s="128"/>
      <c r="AA468" s="128"/>
    </row>
    <row r="469" spans="17:27" ht="13.2">
      <c r="Q469" s="119"/>
      <c r="R469" s="119"/>
      <c r="T469" s="128"/>
      <c r="U469" s="128"/>
      <c r="Z469" s="128"/>
      <c r="AA469" s="128"/>
    </row>
    <row r="470" spans="17:27" ht="13.2">
      <c r="Q470" s="119"/>
      <c r="R470" s="119"/>
      <c r="T470" s="128"/>
      <c r="U470" s="128"/>
      <c r="Z470" s="128"/>
      <c r="AA470" s="128"/>
    </row>
    <row r="471" spans="17:27" ht="13.2">
      <c r="Q471" s="119"/>
      <c r="R471" s="119"/>
      <c r="T471" s="128"/>
      <c r="U471" s="128"/>
      <c r="Z471" s="128"/>
      <c r="AA471" s="128"/>
    </row>
    <row r="472" spans="17:27" ht="13.2">
      <c r="Q472" s="119"/>
      <c r="R472" s="119"/>
      <c r="T472" s="128"/>
      <c r="U472" s="128"/>
      <c r="Z472" s="128"/>
      <c r="AA472" s="128"/>
    </row>
    <row r="473" spans="17:27" ht="13.2">
      <c r="Q473" s="119"/>
      <c r="R473" s="119"/>
      <c r="T473" s="128"/>
      <c r="U473" s="128"/>
      <c r="Z473" s="128"/>
      <c r="AA473" s="128"/>
    </row>
    <row r="474" spans="17:27" ht="13.2">
      <c r="Q474" s="119"/>
      <c r="R474" s="119"/>
      <c r="T474" s="128"/>
      <c r="U474" s="128"/>
      <c r="Z474" s="128"/>
      <c r="AA474" s="128"/>
    </row>
    <row r="475" spans="17:27" ht="13.2">
      <c r="Q475" s="119"/>
      <c r="R475" s="119"/>
      <c r="T475" s="128"/>
      <c r="U475" s="128"/>
      <c r="Z475" s="128"/>
      <c r="AA475" s="128"/>
    </row>
    <row r="476" spans="17:27" ht="13.2">
      <c r="Q476" s="119"/>
      <c r="R476" s="119"/>
      <c r="T476" s="128"/>
      <c r="U476" s="128"/>
      <c r="Z476" s="128"/>
      <c r="AA476" s="128"/>
    </row>
    <row r="477" spans="17:27" ht="13.2">
      <c r="Q477" s="119"/>
      <c r="R477" s="119"/>
      <c r="T477" s="128"/>
      <c r="U477" s="128"/>
      <c r="Z477" s="128"/>
      <c r="AA477" s="128"/>
    </row>
    <row r="478" spans="17:27" ht="13.2">
      <c r="Q478" s="119"/>
      <c r="R478" s="119"/>
      <c r="T478" s="128"/>
      <c r="U478" s="128"/>
      <c r="Z478" s="128"/>
      <c r="AA478" s="128"/>
    </row>
    <row r="479" spans="17:27" ht="13.2">
      <c r="Q479" s="119"/>
      <c r="R479" s="119"/>
      <c r="T479" s="128"/>
      <c r="U479" s="128"/>
      <c r="Z479" s="128"/>
      <c r="AA479" s="128"/>
    </row>
    <row r="480" spans="17:27" ht="13.2">
      <c r="Q480" s="119"/>
      <c r="R480" s="119"/>
      <c r="T480" s="128"/>
      <c r="U480" s="128"/>
      <c r="Z480" s="128"/>
      <c r="AA480" s="128"/>
    </row>
    <row r="481" spans="17:27" ht="13.2">
      <c r="Q481" s="119"/>
      <c r="R481" s="119"/>
      <c r="T481" s="128"/>
      <c r="U481" s="128"/>
      <c r="Z481" s="128"/>
      <c r="AA481" s="128"/>
    </row>
    <row r="482" spans="17:27" ht="13.2">
      <c r="Q482" s="119"/>
      <c r="R482" s="119"/>
      <c r="T482" s="128"/>
      <c r="U482" s="128"/>
      <c r="Z482" s="128"/>
      <c r="AA482" s="128"/>
    </row>
    <row r="483" spans="17:27" ht="13.2">
      <c r="Q483" s="119"/>
      <c r="R483" s="119"/>
      <c r="T483" s="128"/>
      <c r="U483" s="128"/>
      <c r="Z483" s="128"/>
      <c r="AA483" s="128"/>
    </row>
    <row r="484" spans="17:27" ht="13.2">
      <c r="Q484" s="119"/>
      <c r="R484" s="119"/>
      <c r="T484" s="128"/>
      <c r="U484" s="128"/>
      <c r="Z484" s="128"/>
      <c r="AA484" s="128"/>
    </row>
    <row r="485" spans="17:27" ht="13.2">
      <c r="Q485" s="119"/>
      <c r="R485" s="119"/>
      <c r="T485" s="128"/>
      <c r="U485" s="128"/>
      <c r="Z485" s="128"/>
      <c r="AA485" s="128"/>
    </row>
    <row r="486" spans="17:27" ht="13.2">
      <c r="Q486" s="119"/>
      <c r="R486" s="119"/>
      <c r="T486" s="128"/>
      <c r="U486" s="128"/>
      <c r="Z486" s="128"/>
      <c r="AA486" s="128"/>
    </row>
    <row r="487" spans="17:27" ht="13.2">
      <c r="Q487" s="119"/>
      <c r="R487" s="119"/>
      <c r="T487" s="128"/>
      <c r="U487" s="128"/>
      <c r="Z487" s="128"/>
      <c r="AA487" s="128"/>
    </row>
    <row r="488" spans="17:27" ht="13.2">
      <c r="Q488" s="119"/>
      <c r="R488" s="119"/>
      <c r="T488" s="128"/>
      <c r="U488" s="128"/>
      <c r="Z488" s="128"/>
      <c r="AA488" s="128"/>
    </row>
    <row r="489" spans="17:27" ht="13.2">
      <c r="Q489" s="119"/>
      <c r="R489" s="119"/>
      <c r="T489" s="128"/>
      <c r="U489" s="128"/>
      <c r="Z489" s="128"/>
      <c r="AA489" s="128"/>
    </row>
    <row r="490" spans="17:27" ht="13.2">
      <c r="Q490" s="119"/>
      <c r="R490" s="119"/>
      <c r="T490" s="128"/>
      <c r="U490" s="128"/>
      <c r="Z490" s="128"/>
      <c r="AA490" s="128"/>
    </row>
    <row r="491" spans="17:27" ht="13.2">
      <c r="Q491" s="119"/>
      <c r="R491" s="119"/>
      <c r="T491" s="128"/>
      <c r="U491" s="128"/>
      <c r="Z491" s="128"/>
      <c r="AA491" s="128"/>
    </row>
    <row r="492" spans="17:27" ht="13.2">
      <c r="Q492" s="119"/>
      <c r="R492" s="119"/>
      <c r="T492" s="128"/>
      <c r="U492" s="128"/>
      <c r="Z492" s="128"/>
      <c r="AA492" s="128"/>
    </row>
    <row r="493" spans="17:27" ht="13.2">
      <c r="Q493" s="119"/>
      <c r="R493" s="119"/>
      <c r="T493" s="128"/>
      <c r="U493" s="128"/>
      <c r="Z493" s="128"/>
      <c r="AA493" s="128"/>
    </row>
    <row r="494" spans="17:27" ht="13.2">
      <c r="Q494" s="119"/>
      <c r="R494" s="119"/>
      <c r="T494" s="128"/>
      <c r="U494" s="128"/>
      <c r="Z494" s="128"/>
      <c r="AA494" s="128"/>
    </row>
    <row r="495" spans="17:27" ht="13.2">
      <c r="Q495" s="119"/>
      <c r="R495" s="119"/>
      <c r="T495" s="128"/>
      <c r="U495" s="128"/>
      <c r="Z495" s="128"/>
      <c r="AA495" s="128"/>
    </row>
    <row r="496" spans="17:27" ht="13.2">
      <c r="Q496" s="119"/>
      <c r="R496" s="119"/>
      <c r="T496" s="128"/>
      <c r="U496" s="128"/>
      <c r="Z496" s="128"/>
      <c r="AA496" s="128"/>
    </row>
    <row r="497" spans="17:27" ht="13.2">
      <c r="Q497" s="119"/>
      <c r="R497" s="119"/>
      <c r="T497" s="128"/>
      <c r="U497" s="128"/>
      <c r="Z497" s="128"/>
      <c r="AA497" s="128"/>
    </row>
    <row r="498" spans="17:27" ht="13.2">
      <c r="Q498" s="119"/>
      <c r="R498" s="119"/>
      <c r="T498" s="128"/>
      <c r="U498" s="128"/>
      <c r="Z498" s="128"/>
      <c r="AA498" s="128"/>
    </row>
    <row r="499" spans="17:27" ht="13.2">
      <c r="Q499" s="119"/>
      <c r="R499" s="119"/>
      <c r="T499" s="128"/>
      <c r="U499" s="128"/>
      <c r="Z499" s="128"/>
      <c r="AA499" s="128"/>
    </row>
    <row r="500" spans="17:27" ht="13.2">
      <c r="Q500" s="119"/>
      <c r="R500" s="119"/>
      <c r="T500" s="128"/>
      <c r="U500" s="128"/>
      <c r="Z500" s="128"/>
      <c r="AA500" s="128"/>
    </row>
    <row r="501" spans="17:27" ht="13.2">
      <c r="Q501" s="119"/>
      <c r="R501" s="119"/>
      <c r="T501" s="128"/>
      <c r="U501" s="128"/>
      <c r="Z501" s="128"/>
      <c r="AA501" s="128"/>
    </row>
    <row r="502" spans="17:27" ht="13.2">
      <c r="Q502" s="119"/>
      <c r="R502" s="119"/>
      <c r="T502" s="128"/>
      <c r="U502" s="128"/>
      <c r="Z502" s="128"/>
      <c r="AA502" s="128"/>
    </row>
    <row r="503" spans="17:27" ht="13.2">
      <c r="Q503" s="119"/>
      <c r="R503" s="119"/>
      <c r="T503" s="128"/>
      <c r="U503" s="128"/>
      <c r="Z503" s="128"/>
      <c r="AA503" s="128"/>
    </row>
    <row r="504" spans="17:27" ht="13.2">
      <c r="Q504" s="119"/>
      <c r="R504" s="119"/>
      <c r="T504" s="128"/>
      <c r="U504" s="128"/>
      <c r="Z504" s="128"/>
      <c r="AA504" s="128"/>
    </row>
    <row r="505" spans="17:27" ht="13.2">
      <c r="Q505" s="119"/>
      <c r="R505" s="119"/>
      <c r="T505" s="128"/>
      <c r="U505" s="128"/>
      <c r="Z505" s="128"/>
      <c r="AA505" s="128"/>
    </row>
    <row r="506" spans="17:27" ht="13.2">
      <c r="Q506" s="119"/>
      <c r="R506" s="119"/>
      <c r="T506" s="128"/>
      <c r="U506" s="128"/>
      <c r="Z506" s="128"/>
      <c r="AA506" s="128"/>
    </row>
    <row r="507" spans="17:27" ht="13.2">
      <c r="Q507" s="119"/>
      <c r="R507" s="119"/>
      <c r="T507" s="128"/>
      <c r="U507" s="128"/>
      <c r="Z507" s="128"/>
      <c r="AA507" s="128"/>
    </row>
    <row r="508" spans="17:27" ht="13.2">
      <c r="Q508" s="119"/>
      <c r="R508" s="119"/>
      <c r="T508" s="128"/>
      <c r="U508" s="128"/>
      <c r="Z508" s="128"/>
      <c r="AA508" s="128"/>
    </row>
    <row r="509" spans="17:27" ht="13.2">
      <c r="Q509" s="119"/>
      <c r="R509" s="119"/>
      <c r="T509" s="128"/>
      <c r="U509" s="128"/>
      <c r="Z509" s="128"/>
      <c r="AA509" s="128"/>
    </row>
    <row r="510" spans="17:27" ht="13.2">
      <c r="Q510" s="119"/>
      <c r="R510" s="119"/>
      <c r="T510" s="128"/>
      <c r="U510" s="128"/>
      <c r="Z510" s="128"/>
      <c r="AA510" s="128"/>
    </row>
    <row r="511" spans="17:27" ht="13.2">
      <c r="Q511" s="119"/>
      <c r="R511" s="119"/>
      <c r="T511" s="128"/>
      <c r="U511" s="128"/>
      <c r="Z511" s="128"/>
      <c r="AA511" s="128"/>
    </row>
    <row r="512" spans="17:27" ht="13.2">
      <c r="Q512" s="119"/>
      <c r="R512" s="119"/>
      <c r="T512" s="128"/>
      <c r="U512" s="128"/>
      <c r="Z512" s="128"/>
      <c r="AA512" s="128"/>
    </row>
    <row r="513" spans="17:27" ht="13.2">
      <c r="Q513" s="119"/>
      <c r="R513" s="119"/>
      <c r="T513" s="128"/>
      <c r="U513" s="128"/>
      <c r="Z513" s="128"/>
      <c r="AA513" s="128"/>
    </row>
    <row r="514" spans="17:27" ht="13.2">
      <c r="Q514" s="119"/>
      <c r="R514" s="119"/>
      <c r="T514" s="128"/>
      <c r="U514" s="128"/>
      <c r="Z514" s="128"/>
      <c r="AA514" s="128"/>
    </row>
    <row r="515" spans="17:27" ht="13.2">
      <c r="Q515" s="119"/>
      <c r="R515" s="119"/>
      <c r="T515" s="128"/>
      <c r="U515" s="128"/>
      <c r="Z515" s="128"/>
      <c r="AA515" s="128"/>
    </row>
    <row r="516" spans="17:27" ht="13.2">
      <c r="Q516" s="119"/>
      <c r="R516" s="119"/>
      <c r="T516" s="128"/>
      <c r="U516" s="128"/>
      <c r="Z516" s="128"/>
      <c r="AA516" s="128"/>
    </row>
    <row r="517" spans="17:27" ht="13.2">
      <c r="Q517" s="119"/>
      <c r="R517" s="119"/>
      <c r="T517" s="128"/>
      <c r="U517" s="128"/>
      <c r="Z517" s="128"/>
      <c r="AA517" s="128"/>
    </row>
    <row r="518" spans="17:27" ht="13.2">
      <c r="Q518" s="119"/>
      <c r="R518" s="119"/>
      <c r="T518" s="128"/>
      <c r="U518" s="128"/>
      <c r="Z518" s="128"/>
      <c r="AA518" s="128"/>
    </row>
    <row r="519" spans="17:27" ht="13.2">
      <c r="Q519" s="119"/>
      <c r="R519" s="119"/>
      <c r="T519" s="128"/>
      <c r="U519" s="128"/>
      <c r="Z519" s="128"/>
      <c r="AA519" s="128"/>
    </row>
    <row r="520" spans="17:27" ht="13.2">
      <c r="Q520" s="119"/>
      <c r="R520" s="119"/>
      <c r="T520" s="128"/>
      <c r="U520" s="128"/>
      <c r="Z520" s="128"/>
      <c r="AA520" s="128"/>
    </row>
    <row r="521" spans="17:27" ht="13.2">
      <c r="Q521" s="119"/>
      <c r="R521" s="119"/>
      <c r="T521" s="128"/>
      <c r="U521" s="128"/>
      <c r="Z521" s="128"/>
      <c r="AA521" s="128"/>
    </row>
    <row r="522" spans="17:27" ht="13.2">
      <c r="Q522" s="119"/>
      <c r="R522" s="119"/>
      <c r="T522" s="128"/>
      <c r="U522" s="128"/>
      <c r="Z522" s="128"/>
      <c r="AA522" s="128"/>
    </row>
    <row r="523" spans="17:27" ht="13.2">
      <c r="Q523" s="119"/>
      <c r="R523" s="119"/>
      <c r="T523" s="128"/>
      <c r="U523" s="128"/>
      <c r="Z523" s="128"/>
      <c r="AA523" s="128"/>
    </row>
    <row r="524" spans="17:27" ht="13.2">
      <c r="Q524" s="119"/>
      <c r="R524" s="119"/>
      <c r="T524" s="128"/>
      <c r="U524" s="128"/>
      <c r="Z524" s="128"/>
      <c r="AA524" s="128"/>
    </row>
    <row r="525" spans="17:27" ht="13.2">
      <c r="Q525" s="119"/>
      <c r="R525" s="119"/>
      <c r="T525" s="128"/>
      <c r="U525" s="128"/>
      <c r="Z525" s="128"/>
      <c r="AA525" s="128"/>
    </row>
    <row r="526" spans="17:27" ht="13.2">
      <c r="Q526" s="119"/>
      <c r="R526" s="119"/>
      <c r="T526" s="128"/>
      <c r="U526" s="128"/>
      <c r="Z526" s="128"/>
      <c r="AA526" s="128"/>
    </row>
    <row r="527" spans="17:27" ht="13.2">
      <c r="Q527" s="119"/>
      <c r="R527" s="119"/>
      <c r="T527" s="128"/>
      <c r="U527" s="128"/>
      <c r="Z527" s="128"/>
      <c r="AA527" s="128"/>
    </row>
    <row r="528" spans="17:27" ht="13.2">
      <c r="Q528" s="119"/>
      <c r="R528" s="119"/>
      <c r="T528" s="128"/>
      <c r="U528" s="128"/>
      <c r="Z528" s="128"/>
      <c r="AA528" s="128"/>
    </row>
    <row r="529" spans="17:27" ht="13.2">
      <c r="Q529" s="119"/>
      <c r="R529" s="119"/>
      <c r="T529" s="128"/>
      <c r="U529" s="128"/>
      <c r="Z529" s="128"/>
      <c r="AA529" s="128"/>
    </row>
    <row r="530" spans="17:27" ht="13.2">
      <c r="Q530" s="119"/>
      <c r="R530" s="119"/>
      <c r="T530" s="128"/>
      <c r="U530" s="128"/>
      <c r="Z530" s="128"/>
      <c r="AA530" s="128"/>
    </row>
    <row r="531" spans="17:27" ht="13.2">
      <c r="Q531" s="119"/>
      <c r="R531" s="119"/>
      <c r="T531" s="128"/>
      <c r="U531" s="128"/>
      <c r="Z531" s="128"/>
      <c r="AA531" s="128"/>
    </row>
    <row r="532" spans="17:27" ht="13.2">
      <c r="Q532" s="119"/>
      <c r="R532" s="119"/>
      <c r="T532" s="128"/>
      <c r="U532" s="128"/>
      <c r="Z532" s="128"/>
      <c r="AA532" s="128"/>
    </row>
    <row r="533" spans="17:27" ht="13.2">
      <c r="Q533" s="119"/>
      <c r="R533" s="119"/>
      <c r="T533" s="128"/>
      <c r="U533" s="128"/>
      <c r="Z533" s="128"/>
      <c r="AA533" s="128"/>
    </row>
    <row r="534" spans="17:27" ht="13.2">
      <c r="Q534" s="119"/>
      <c r="R534" s="119"/>
      <c r="T534" s="128"/>
      <c r="U534" s="128"/>
      <c r="Z534" s="128"/>
      <c r="AA534" s="128"/>
    </row>
    <row r="535" spans="17:27" ht="13.2">
      <c r="Q535" s="119"/>
      <c r="R535" s="119"/>
      <c r="T535" s="128"/>
      <c r="U535" s="128"/>
      <c r="Z535" s="128"/>
      <c r="AA535" s="128"/>
    </row>
    <row r="536" spans="17:27" ht="13.2">
      <c r="Q536" s="119"/>
      <c r="R536" s="119"/>
      <c r="T536" s="128"/>
      <c r="U536" s="128"/>
      <c r="Z536" s="128"/>
      <c r="AA536" s="128"/>
    </row>
    <row r="537" spans="17:27" ht="13.2">
      <c r="Q537" s="119"/>
      <c r="R537" s="119"/>
      <c r="T537" s="128"/>
      <c r="U537" s="128"/>
      <c r="Z537" s="128"/>
      <c r="AA537" s="128"/>
    </row>
    <row r="538" spans="17:27" ht="13.2">
      <c r="Q538" s="119"/>
      <c r="R538" s="119"/>
      <c r="T538" s="128"/>
      <c r="U538" s="128"/>
      <c r="Z538" s="128"/>
      <c r="AA538" s="128"/>
    </row>
    <row r="539" spans="17:27" ht="13.2">
      <c r="Q539" s="119"/>
      <c r="R539" s="119"/>
      <c r="T539" s="128"/>
      <c r="U539" s="128"/>
      <c r="Z539" s="128"/>
      <c r="AA539" s="128"/>
    </row>
    <row r="540" spans="17:27" ht="13.2">
      <c r="Q540" s="119"/>
      <c r="R540" s="119"/>
      <c r="T540" s="128"/>
      <c r="U540" s="128"/>
      <c r="Z540" s="128"/>
      <c r="AA540" s="128"/>
    </row>
    <row r="541" spans="17:27" ht="13.2">
      <c r="Q541" s="119"/>
      <c r="R541" s="119"/>
      <c r="T541" s="128"/>
      <c r="U541" s="128"/>
      <c r="Z541" s="128"/>
      <c r="AA541" s="128"/>
    </row>
    <row r="542" spans="17:27" ht="13.2">
      <c r="Q542" s="119"/>
      <c r="R542" s="119"/>
      <c r="T542" s="128"/>
      <c r="U542" s="128"/>
      <c r="Z542" s="128"/>
      <c r="AA542" s="128"/>
    </row>
    <row r="543" spans="17:27" ht="13.2">
      <c r="Q543" s="119"/>
      <c r="R543" s="119"/>
      <c r="T543" s="128"/>
      <c r="U543" s="128"/>
      <c r="Z543" s="128"/>
      <c r="AA543" s="128"/>
    </row>
    <row r="544" spans="17:27" ht="13.2">
      <c r="Q544" s="119"/>
      <c r="R544" s="119"/>
      <c r="T544" s="128"/>
      <c r="U544" s="128"/>
      <c r="Z544" s="128"/>
      <c r="AA544" s="128"/>
    </row>
    <row r="545" spans="17:27" ht="13.2">
      <c r="Q545" s="119"/>
      <c r="R545" s="119"/>
      <c r="T545" s="128"/>
      <c r="U545" s="128"/>
      <c r="Z545" s="128"/>
      <c r="AA545" s="128"/>
    </row>
    <row r="546" spans="17:27" ht="13.2">
      <c r="Q546" s="119"/>
      <c r="R546" s="119"/>
      <c r="T546" s="128"/>
      <c r="U546" s="128"/>
      <c r="Z546" s="128"/>
      <c r="AA546" s="128"/>
    </row>
    <row r="547" spans="17:27" ht="13.2">
      <c r="Q547" s="119"/>
      <c r="R547" s="119"/>
      <c r="T547" s="128"/>
      <c r="U547" s="128"/>
      <c r="Z547" s="128"/>
      <c r="AA547" s="128"/>
    </row>
    <row r="548" spans="17:27" ht="13.2">
      <c r="Q548" s="119"/>
      <c r="R548" s="119"/>
      <c r="T548" s="128"/>
      <c r="U548" s="128"/>
      <c r="Z548" s="128"/>
      <c r="AA548" s="128"/>
    </row>
    <row r="549" spans="17:27" ht="13.2">
      <c r="Q549" s="119"/>
      <c r="R549" s="119"/>
      <c r="T549" s="128"/>
      <c r="U549" s="128"/>
      <c r="Z549" s="128"/>
      <c r="AA549" s="128"/>
    </row>
    <row r="550" spans="17:27" ht="13.2">
      <c r="Q550" s="119"/>
      <c r="R550" s="119"/>
      <c r="T550" s="128"/>
      <c r="U550" s="128"/>
      <c r="Z550" s="128"/>
      <c r="AA550" s="128"/>
    </row>
    <row r="551" spans="17:27" ht="13.2">
      <c r="Q551" s="119"/>
      <c r="R551" s="119"/>
      <c r="T551" s="128"/>
      <c r="U551" s="128"/>
      <c r="Z551" s="128"/>
      <c r="AA551" s="128"/>
    </row>
    <row r="552" spans="17:27" ht="13.2">
      <c r="Q552" s="119"/>
      <c r="R552" s="119"/>
      <c r="T552" s="128"/>
      <c r="U552" s="128"/>
      <c r="Z552" s="128"/>
      <c r="AA552" s="128"/>
    </row>
    <row r="553" spans="17:27" ht="13.2">
      <c r="Q553" s="119"/>
      <c r="R553" s="119"/>
      <c r="T553" s="128"/>
      <c r="U553" s="128"/>
      <c r="Z553" s="128"/>
      <c r="AA553" s="128"/>
    </row>
    <row r="554" spans="17:27" ht="13.2">
      <c r="Q554" s="119"/>
      <c r="R554" s="119"/>
      <c r="T554" s="128"/>
      <c r="U554" s="128"/>
      <c r="Z554" s="128"/>
      <c r="AA554" s="128"/>
    </row>
    <row r="555" spans="17:27" ht="13.2">
      <c r="Q555" s="119"/>
      <c r="R555" s="119"/>
      <c r="T555" s="128"/>
      <c r="U555" s="128"/>
      <c r="Z555" s="128"/>
      <c r="AA555" s="128"/>
    </row>
    <row r="556" spans="17:27" ht="13.2">
      <c r="Q556" s="119"/>
      <c r="R556" s="119"/>
      <c r="T556" s="128"/>
      <c r="U556" s="128"/>
      <c r="Z556" s="128"/>
      <c r="AA556" s="128"/>
    </row>
    <row r="557" spans="17:27" ht="13.2">
      <c r="Q557" s="119"/>
      <c r="R557" s="119"/>
      <c r="T557" s="128"/>
      <c r="U557" s="128"/>
      <c r="Z557" s="128"/>
      <c r="AA557" s="128"/>
    </row>
    <row r="558" spans="17:27" ht="13.2">
      <c r="Q558" s="119"/>
      <c r="R558" s="119"/>
      <c r="T558" s="128"/>
      <c r="U558" s="128"/>
      <c r="Z558" s="128"/>
      <c r="AA558" s="128"/>
    </row>
    <row r="559" spans="17:27" ht="13.2">
      <c r="Q559" s="119"/>
      <c r="R559" s="119"/>
      <c r="T559" s="128"/>
      <c r="U559" s="128"/>
      <c r="Z559" s="128"/>
      <c r="AA559" s="128"/>
    </row>
    <row r="560" spans="17:27" ht="13.2">
      <c r="Q560" s="119"/>
      <c r="R560" s="119"/>
      <c r="T560" s="128"/>
      <c r="U560" s="128"/>
      <c r="Z560" s="128"/>
      <c r="AA560" s="128"/>
    </row>
    <row r="561" spans="17:27" ht="13.2">
      <c r="Q561" s="119"/>
      <c r="R561" s="119"/>
      <c r="T561" s="128"/>
      <c r="U561" s="128"/>
      <c r="Z561" s="128"/>
      <c r="AA561" s="128"/>
    </row>
    <row r="562" spans="17:27" ht="13.2">
      <c r="Q562" s="119"/>
      <c r="R562" s="119"/>
      <c r="T562" s="128"/>
      <c r="U562" s="128"/>
      <c r="Z562" s="128"/>
      <c r="AA562" s="128"/>
    </row>
    <row r="563" spans="17:27" ht="13.2">
      <c r="Q563" s="119"/>
      <c r="R563" s="119"/>
      <c r="T563" s="128"/>
      <c r="U563" s="128"/>
      <c r="Z563" s="128"/>
      <c r="AA563" s="128"/>
    </row>
    <row r="564" spans="17:27" ht="13.2">
      <c r="Q564" s="119"/>
      <c r="R564" s="119"/>
      <c r="T564" s="128"/>
      <c r="U564" s="128"/>
      <c r="Z564" s="128"/>
      <c r="AA564" s="128"/>
    </row>
    <row r="565" spans="17:27" ht="13.2">
      <c r="Q565" s="119"/>
      <c r="R565" s="119"/>
      <c r="T565" s="128"/>
      <c r="U565" s="128"/>
      <c r="Z565" s="128"/>
      <c r="AA565" s="128"/>
    </row>
    <row r="566" spans="17:27" ht="13.2">
      <c r="Q566" s="119"/>
      <c r="R566" s="119"/>
      <c r="T566" s="128"/>
      <c r="U566" s="128"/>
      <c r="Z566" s="128"/>
      <c r="AA566" s="128"/>
    </row>
    <row r="567" spans="17:27" ht="13.2">
      <c r="Q567" s="119"/>
      <c r="R567" s="119"/>
      <c r="T567" s="128"/>
      <c r="U567" s="128"/>
      <c r="Z567" s="128"/>
      <c r="AA567" s="128"/>
    </row>
    <row r="568" spans="17:27" ht="13.2">
      <c r="Q568" s="119"/>
      <c r="R568" s="119"/>
      <c r="T568" s="128"/>
      <c r="U568" s="128"/>
      <c r="Z568" s="128"/>
      <c r="AA568" s="128"/>
    </row>
    <row r="569" spans="17:27" ht="13.2">
      <c r="Q569" s="119"/>
      <c r="R569" s="119"/>
      <c r="T569" s="128"/>
      <c r="U569" s="128"/>
      <c r="Z569" s="128"/>
      <c r="AA569" s="128"/>
    </row>
    <row r="570" spans="17:27" ht="13.2">
      <c r="Q570" s="119"/>
      <c r="R570" s="119"/>
      <c r="T570" s="128"/>
      <c r="U570" s="128"/>
      <c r="Z570" s="128"/>
      <c r="AA570" s="128"/>
    </row>
    <row r="571" spans="17:27" ht="13.2">
      <c r="Q571" s="119"/>
      <c r="R571" s="119"/>
      <c r="T571" s="128"/>
      <c r="U571" s="128"/>
      <c r="Z571" s="128"/>
      <c r="AA571" s="128"/>
    </row>
    <row r="572" spans="17:27" ht="13.2">
      <c r="Q572" s="119"/>
      <c r="R572" s="119"/>
      <c r="T572" s="128"/>
      <c r="U572" s="128"/>
      <c r="Z572" s="128"/>
      <c r="AA572" s="128"/>
    </row>
    <row r="573" spans="17:27" ht="13.2">
      <c r="Q573" s="119"/>
      <c r="R573" s="119"/>
      <c r="T573" s="128"/>
      <c r="U573" s="128"/>
      <c r="Z573" s="128"/>
      <c r="AA573" s="128"/>
    </row>
    <row r="574" spans="17:27" ht="13.2">
      <c r="Q574" s="119"/>
      <c r="R574" s="119"/>
      <c r="T574" s="128"/>
      <c r="U574" s="128"/>
      <c r="Z574" s="128"/>
      <c r="AA574" s="128"/>
    </row>
    <row r="575" spans="17:27" ht="13.2">
      <c r="Q575" s="119"/>
      <c r="R575" s="119"/>
      <c r="T575" s="128"/>
      <c r="U575" s="128"/>
      <c r="Z575" s="128"/>
      <c r="AA575" s="128"/>
    </row>
    <row r="576" spans="17:27" ht="13.2">
      <c r="Q576" s="119"/>
      <c r="R576" s="119"/>
      <c r="T576" s="128"/>
      <c r="U576" s="128"/>
      <c r="Z576" s="128"/>
      <c r="AA576" s="128"/>
    </row>
    <row r="577" spans="17:27" ht="13.2">
      <c r="Q577" s="119"/>
      <c r="R577" s="119"/>
      <c r="T577" s="128"/>
      <c r="U577" s="128"/>
      <c r="Z577" s="128"/>
      <c r="AA577" s="128"/>
    </row>
    <row r="578" spans="17:27" ht="13.2">
      <c r="Q578" s="119"/>
      <c r="R578" s="119"/>
      <c r="T578" s="128"/>
      <c r="U578" s="128"/>
      <c r="Z578" s="128"/>
      <c r="AA578" s="128"/>
    </row>
    <row r="579" spans="17:27" ht="13.2">
      <c r="Q579" s="119"/>
      <c r="R579" s="119"/>
      <c r="T579" s="128"/>
      <c r="U579" s="128"/>
      <c r="Z579" s="128"/>
      <c r="AA579" s="128"/>
    </row>
    <row r="580" spans="17:27" ht="13.2">
      <c r="Q580" s="119"/>
      <c r="R580" s="119"/>
      <c r="T580" s="128"/>
      <c r="U580" s="128"/>
      <c r="Z580" s="128"/>
      <c r="AA580" s="128"/>
    </row>
    <row r="581" spans="17:27" ht="13.2">
      <c r="Q581" s="119"/>
      <c r="R581" s="119"/>
      <c r="T581" s="128"/>
      <c r="U581" s="128"/>
      <c r="Z581" s="128"/>
      <c r="AA581" s="128"/>
    </row>
    <row r="582" spans="17:27" ht="13.2">
      <c r="Q582" s="119"/>
      <c r="R582" s="119"/>
      <c r="T582" s="128"/>
      <c r="U582" s="128"/>
      <c r="Z582" s="128"/>
      <c r="AA582" s="128"/>
    </row>
    <row r="583" spans="17:27" ht="13.2">
      <c r="Q583" s="119"/>
      <c r="R583" s="119"/>
      <c r="T583" s="128"/>
      <c r="U583" s="128"/>
      <c r="Z583" s="128"/>
      <c r="AA583" s="128"/>
    </row>
    <row r="584" spans="17:27" ht="13.2">
      <c r="Q584" s="119"/>
      <c r="R584" s="119"/>
      <c r="T584" s="128"/>
      <c r="U584" s="128"/>
      <c r="Z584" s="128"/>
      <c r="AA584" s="128"/>
    </row>
    <row r="585" spans="17:27" ht="13.2">
      <c r="Q585" s="119"/>
      <c r="R585" s="119"/>
      <c r="T585" s="128"/>
      <c r="U585" s="128"/>
      <c r="Z585" s="128"/>
      <c r="AA585" s="128"/>
    </row>
    <row r="586" spans="17:27" ht="13.2">
      <c r="Q586" s="119"/>
      <c r="R586" s="119"/>
      <c r="T586" s="128"/>
      <c r="U586" s="128"/>
      <c r="Z586" s="128"/>
      <c r="AA586" s="128"/>
    </row>
    <row r="587" spans="17:27" ht="13.2">
      <c r="Q587" s="119"/>
      <c r="R587" s="119"/>
      <c r="T587" s="128"/>
      <c r="U587" s="128"/>
      <c r="Z587" s="128"/>
      <c r="AA587" s="128"/>
    </row>
    <row r="588" spans="17:27" ht="13.2">
      <c r="Q588" s="119"/>
      <c r="R588" s="119"/>
      <c r="T588" s="128"/>
      <c r="U588" s="128"/>
      <c r="Z588" s="128"/>
      <c r="AA588" s="128"/>
    </row>
    <row r="589" spans="17:27" ht="13.2">
      <c r="Q589" s="119"/>
      <c r="R589" s="119"/>
      <c r="T589" s="128"/>
      <c r="U589" s="128"/>
      <c r="Z589" s="128"/>
      <c r="AA589" s="128"/>
    </row>
    <row r="590" spans="17:27" ht="13.2">
      <c r="Q590" s="119"/>
      <c r="R590" s="119"/>
      <c r="T590" s="128"/>
      <c r="U590" s="128"/>
      <c r="Z590" s="128"/>
      <c r="AA590" s="128"/>
    </row>
    <row r="591" spans="17:27" ht="13.2">
      <c r="Q591" s="119"/>
      <c r="R591" s="119"/>
      <c r="T591" s="128"/>
      <c r="U591" s="128"/>
      <c r="Z591" s="128"/>
      <c r="AA591" s="128"/>
    </row>
    <row r="592" spans="17:27" ht="13.2">
      <c r="Q592" s="119"/>
      <c r="R592" s="119"/>
      <c r="T592" s="128"/>
      <c r="U592" s="128"/>
      <c r="Z592" s="128"/>
      <c r="AA592" s="128"/>
    </row>
    <row r="593" spans="17:27" ht="13.2">
      <c r="Q593" s="119"/>
      <c r="R593" s="119"/>
      <c r="T593" s="128"/>
      <c r="U593" s="128"/>
      <c r="Z593" s="128"/>
      <c r="AA593" s="128"/>
    </row>
    <row r="594" spans="17:27" ht="13.2">
      <c r="Q594" s="119"/>
      <c r="R594" s="119"/>
      <c r="T594" s="128"/>
      <c r="U594" s="128"/>
      <c r="Z594" s="128"/>
      <c r="AA594" s="128"/>
    </row>
    <row r="595" spans="17:27" ht="13.2">
      <c r="Q595" s="119"/>
      <c r="R595" s="119"/>
      <c r="T595" s="128"/>
      <c r="U595" s="128"/>
      <c r="Z595" s="128"/>
      <c r="AA595" s="128"/>
    </row>
    <row r="596" spans="17:27" ht="13.2">
      <c r="Q596" s="119"/>
      <c r="R596" s="119"/>
      <c r="T596" s="128"/>
      <c r="U596" s="128"/>
      <c r="Z596" s="128"/>
      <c r="AA596" s="128"/>
    </row>
    <row r="597" spans="17:27" ht="13.2">
      <c r="Q597" s="119"/>
      <c r="R597" s="119"/>
      <c r="T597" s="128"/>
      <c r="U597" s="128"/>
      <c r="Z597" s="128"/>
      <c r="AA597" s="128"/>
    </row>
    <row r="598" spans="17:27" ht="13.2">
      <c r="Q598" s="119"/>
      <c r="R598" s="119"/>
      <c r="T598" s="128"/>
      <c r="U598" s="128"/>
      <c r="Z598" s="128"/>
      <c r="AA598" s="128"/>
    </row>
    <row r="599" spans="17:27" ht="13.2">
      <c r="Q599" s="119"/>
      <c r="R599" s="119"/>
      <c r="T599" s="128"/>
      <c r="U599" s="128"/>
      <c r="Z599" s="128"/>
      <c r="AA599" s="128"/>
    </row>
    <row r="600" spans="17:27" ht="13.2">
      <c r="Q600" s="119"/>
      <c r="R600" s="119"/>
      <c r="T600" s="128"/>
      <c r="U600" s="128"/>
      <c r="Z600" s="128"/>
      <c r="AA600" s="128"/>
    </row>
    <row r="601" spans="17:27" ht="13.2">
      <c r="Q601" s="119"/>
      <c r="R601" s="119"/>
      <c r="T601" s="128"/>
      <c r="U601" s="128"/>
      <c r="Z601" s="128"/>
      <c r="AA601" s="128"/>
    </row>
    <row r="602" spans="17:27" ht="13.2">
      <c r="Q602" s="119"/>
      <c r="R602" s="119"/>
      <c r="T602" s="128"/>
      <c r="U602" s="128"/>
      <c r="Z602" s="128"/>
      <c r="AA602" s="128"/>
    </row>
    <row r="603" spans="17:27" ht="13.2">
      <c r="Q603" s="119"/>
      <c r="R603" s="119"/>
      <c r="T603" s="128"/>
      <c r="U603" s="128"/>
      <c r="Z603" s="128"/>
      <c r="AA603" s="128"/>
    </row>
    <row r="604" spans="17:27" ht="13.2">
      <c r="Q604" s="119"/>
      <c r="R604" s="119"/>
      <c r="T604" s="128"/>
      <c r="U604" s="128"/>
      <c r="Z604" s="128"/>
      <c r="AA604" s="128"/>
    </row>
    <row r="605" spans="17:27" ht="13.2">
      <c r="Q605" s="119"/>
      <c r="R605" s="119"/>
      <c r="T605" s="128"/>
      <c r="U605" s="128"/>
      <c r="Z605" s="128"/>
      <c r="AA605" s="128"/>
    </row>
    <row r="606" spans="17:27" ht="13.2">
      <c r="Q606" s="119"/>
      <c r="R606" s="119"/>
      <c r="T606" s="128"/>
      <c r="U606" s="128"/>
      <c r="Z606" s="128"/>
      <c r="AA606" s="128"/>
    </row>
    <row r="607" spans="17:27" ht="13.2">
      <c r="Q607" s="119"/>
      <c r="R607" s="119"/>
      <c r="T607" s="128"/>
      <c r="U607" s="128"/>
      <c r="Z607" s="128"/>
      <c r="AA607" s="128"/>
    </row>
    <row r="608" spans="17:27" ht="13.2">
      <c r="Q608" s="119"/>
      <c r="R608" s="119"/>
      <c r="T608" s="128"/>
      <c r="U608" s="128"/>
      <c r="Z608" s="128"/>
      <c r="AA608" s="128"/>
    </row>
    <row r="609" spans="17:27" ht="13.2">
      <c r="Q609" s="119"/>
      <c r="R609" s="119"/>
      <c r="T609" s="128"/>
      <c r="U609" s="128"/>
      <c r="Z609" s="128"/>
      <c r="AA609" s="128"/>
    </row>
    <row r="610" spans="17:27" ht="13.2">
      <c r="Q610" s="119"/>
      <c r="R610" s="119"/>
      <c r="T610" s="128"/>
      <c r="U610" s="128"/>
      <c r="Z610" s="128"/>
      <c r="AA610" s="128"/>
    </row>
    <row r="611" spans="17:27" ht="13.2">
      <c r="Q611" s="119"/>
      <c r="R611" s="119"/>
      <c r="T611" s="128"/>
      <c r="U611" s="128"/>
      <c r="Z611" s="128"/>
      <c r="AA611" s="128"/>
    </row>
    <row r="612" spans="17:27" ht="13.2">
      <c r="Q612" s="119"/>
      <c r="R612" s="119"/>
      <c r="T612" s="128"/>
      <c r="U612" s="128"/>
      <c r="Z612" s="128"/>
      <c r="AA612" s="128"/>
    </row>
    <row r="613" spans="17:27" ht="13.2">
      <c r="Q613" s="119"/>
      <c r="R613" s="119"/>
      <c r="T613" s="128"/>
      <c r="U613" s="128"/>
      <c r="Z613" s="128"/>
      <c r="AA613" s="128"/>
    </row>
    <row r="614" spans="17:27" ht="13.2">
      <c r="Q614" s="119"/>
      <c r="R614" s="119"/>
      <c r="T614" s="128"/>
      <c r="U614" s="128"/>
      <c r="Z614" s="128"/>
      <c r="AA614" s="128"/>
    </row>
    <row r="615" spans="17:27" ht="13.2">
      <c r="Q615" s="119"/>
      <c r="R615" s="119"/>
      <c r="T615" s="128"/>
      <c r="U615" s="128"/>
      <c r="Z615" s="128"/>
      <c r="AA615" s="128"/>
    </row>
    <row r="616" spans="17:27" ht="13.2">
      <c r="Q616" s="119"/>
      <c r="R616" s="119"/>
      <c r="T616" s="128"/>
      <c r="U616" s="128"/>
      <c r="Z616" s="128"/>
      <c r="AA616" s="128"/>
    </row>
    <row r="617" spans="17:27" ht="13.2">
      <c r="Q617" s="119"/>
      <c r="R617" s="119"/>
      <c r="T617" s="128"/>
      <c r="U617" s="128"/>
      <c r="Z617" s="128"/>
      <c r="AA617" s="128"/>
    </row>
    <row r="618" spans="17:27" ht="13.2">
      <c r="Q618" s="119"/>
      <c r="R618" s="119"/>
      <c r="T618" s="128"/>
      <c r="U618" s="128"/>
      <c r="Z618" s="128"/>
      <c r="AA618" s="128"/>
    </row>
    <row r="619" spans="17:27" ht="13.2">
      <c r="Q619" s="119"/>
      <c r="R619" s="119"/>
      <c r="T619" s="128"/>
      <c r="U619" s="128"/>
      <c r="Z619" s="128"/>
      <c r="AA619" s="128"/>
    </row>
    <row r="620" spans="17:27" ht="13.2">
      <c r="Q620" s="119"/>
      <c r="R620" s="119"/>
      <c r="T620" s="128"/>
      <c r="U620" s="128"/>
      <c r="Z620" s="128"/>
      <c r="AA620" s="128"/>
    </row>
    <row r="621" spans="17:27" ht="13.2">
      <c r="Q621" s="119"/>
      <c r="R621" s="119"/>
      <c r="T621" s="128"/>
      <c r="U621" s="128"/>
      <c r="Z621" s="128"/>
      <c r="AA621" s="128"/>
    </row>
    <row r="622" spans="17:27" ht="13.2">
      <c r="Q622" s="119"/>
      <c r="R622" s="119"/>
      <c r="T622" s="128"/>
      <c r="U622" s="128"/>
      <c r="Z622" s="128"/>
      <c r="AA622" s="128"/>
    </row>
    <row r="623" spans="17:27" ht="13.2">
      <c r="Q623" s="119"/>
      <c r="R623" s="119"/>
      <c r="T623" s="128"/>
      <c r="U623" s="128"/>
      <c r="Z623" s="128"/>
      <c r="AA623" s="128"/>
    </row>
    <row r="624" spans="17:27" ht="13.2">
      <c r="Q624" s="119"/>
      <c r="R624" s="119"/>
      <c r="T624" s="128"/>
      <c r="U624" s="128"/>
      <c r="Z624" s="128"/>
      <c r="AA624" s="128"/>
    </row>
    <row r="625" spans="17:27" ht="13.2">
      <c r="Q625" s="119"/>
      <c r="R625" s="119"/>
      <c r="T625" s="128"/>
      <c r="U625" s="128"/>
      <c r="Z625" s="128"/>
      <c r="AA625" s="128"/>
    </row>
    <row r="626" spans="17:27" ht="13.2">
      <c r="Q626" s="119"/>
      <c r="R626" s="119"/>
      <c r="T626" s="128"/>
      <c r="U626" s="128"/>
      <c r="Z626" s="128"/>
      <c r="AA626" s="128"/>
    </row>
    <row r="627" spans="17:27" ht="13.2">
      <c r="Q627" s="119"/>
      <c r="R627" s="119"/>
      <c r="T627" s="128"/>
      <c r="U627" s="128"/>
      <c r="Z627" s="128"/>
      <c r="AA627" s="128"/>
    </row>
    <row r="628" spans="17:27" ht="13.2">
      <c r="Q628" s="119"/>
      <c r="R628" s="119"/>
      <c r="T628" s="128"/>
      <c r="U628" s="128"/>
      <c r="Z628" s="128"/>
      <c r="AA628" s="128"/>
    </row>
    <row r="629" spans="17:27" ht="13.2">
      <c r="Q629" s="119"/>
      <c r="R629" s="119"/>
      <c r="T629" s="128"/>
      <c r="U629" s="128"/>
      <c r="Z629" s="128"/>
      <c r="AA629" s="128"/>
    </row>
    <row r="630" spans="17:27" ht="13.2">
      <c r="Q630" s="119"/>
      <c r="R630" s="119"/>
      <c r="T630" s="128"/>
      <c r="U630" s="128"/>
      <c r="Z630" s="128"/>
      <c r="AA630" s="128"/>
    </row>
    <row r="631" spans="17:27" ht="13.2">
      <c r="Q631" s="119"/>
      <c r="R631" s="119"/>
      <c r="T631" s="128"/>
      <c r="U631" s="128"/>
      <c r="Z631" s="128"/>
      <c r="AA631" s="128"/>
    </row>
    <row r="632" spans="17:27" ht="13.2">
      <c r="Q632" s="119"/>
      <c r="R632" s="119"/>
      <c r="T632" s="128"/>
      <c r="U632" s="128"/>
      <c r="Z632" s="128"/>
      <c r="AA632" s="128"/>
    </row>
    <row r="633" spans="17:27" ht="13.2">
      <c r="Q633" s="119"/>
      <c r="R633" s="119"/>
      <c r="T633" s="128"/>
      <c r="U633" s="128"/>
      <c r="Z633" s="128"/>
      <c r="AA633" s="128"/>
    </row>
    <row r="634" spans="17:27" ht="13.2">
      <c r="Q634" s="119"/>
      <c r="R634" s="119"/>
      <c r="T634" s="128"/>
      <c r="U634" s="128"/>
      <c r="Z634" s="128"/>
      <c r="AA634" s="128"/>
    </row>
    <row r="635" spans="17:27" ht="13.2">
      <c r="Q635" s="119"/>
      <c r="R635" s="119"/>
      <c r="T635" s="128"/>
      <c r="U635" s="128"/>
      <c r="Z635" s="128"/>
      <c r="AA635" s="128"/>
    </row>
    <row r="636" spans="17:27" ht="13.2">
      <c r="Q636" s="119"/>
      <c r="R636" s="119"/>
      <c r="T636" s="128"/>
      <c r="U636" s="128"/>
      <c r="Z636" s="128"/>
      <c r="AA636" s="128"/>
    </row>
    <row r="637" spans="17:27" ht="13.2">
      <c r="Q637" s="119"/>
      <c r="R637" s="119"/>
      <c r="T637" s="128"/>
      <c r="U637" s="128"/>
      <c r="Z637" s="128"/>
      <c r="AA637" s="128"/>
    </row>
    <row r="638" spans="17:27" ht="13.2">
      <c r="Q638" s="119"/>
      <c r="R638" s="119"/>
      <c r="T638" s="128"/>
      <c r="U638" s="128"/>
      <c r="Z638" s="128"/>
      <c r="AA638" s="128"/>
    </row>
    <row r="639" spans="17:27" ht="13.2">
      <c r="Q639" s="119"/>
      <c r="R639" s="119"/>
      <c r="T639" s="128"/>
      <c r="U639" s="128"/>
      <c r="Z639" s="128"/>
      <c r="AA639" s="128"/>
    </row>
    <row r="640" spans="17:27" ht="13.2">
      <c r="Q640" s="119"/>
      <c r="R640" s="119"/>
      <c r="T640" s="128"/>
      <c r="U640" s="128"/>
      <c r="Z640" s="128"/>
      <c r="AA640" s="128"/>
    </row>
    <row r="641" spans="17:27" ht="13.2">
      <c r="Q641" s="119"/>
      <c r="R641" s="119"/>
      <c r="T641" s="128"/>
      <c r="U641" s="128"/>
      <c r="Z641" s="128"/>
      <c r="AA641" s="128"/>
    </row>
    <row r="642" spans="17:27" ht="13.2">
      <c r="Q642" s="119"/>
      <c r="R642" s="119"/>
      <c r="T642" s="128"/>
      <c r="U642" s="128"/>
      <c r="Z642" s="128"/>
      <c r="AA642" s="128"/>
    </row>
    <row r="643" spans="17:27" ht="13.2">
      <c r="Q643" s="119"/>
      <c r="R643" s="119"/>
      <c r="T643" s="128"/>
      <c r="U643" s="128"/>
      <c r="Z643" s="128"/>
      <c r="AA643" s="128"/>
    </row>
    <row r="644" spans="17:27" ht="13.2">
      <c r="Q644" s="119"/>
      <c r="R644" s="119"/>
      <c r="T644" s="128"/>
      <c r="U644" s="128"/>
      <c r="Z644" s="128"/>
      <c r="AA644" s="128"/>
    </row>
    <row r="645" spans="17:27" ht="13.2">
      <c r="Q645" s="119"/>
      <c r="R645" s="119"/>
      <c r="T645" s="128"/>
      <c r="U645" s="128"/>
      <c r="Z645" s="128"/>
      <c r="AA645" s="128"/>
    </row>
    <row r="646" spans="17:27" ht="13.2">
      <c r="Q646" s="119"/>
      <c r="R646" s="119"/>
      <c r="T646" s="128"/>
      <c r="U646" s="128"/>
      <c r="Z646" s="128"/>
      <c r="AA646" s="128"/>
    </row>
    <row r="647" spans="17:27" ht="13.2">
      <c r="Q647" s="119"/>
      <c r="R647" s="119"/>
      <c r="T647" s="128"/>
      <c r="U647" s="128"/>
      <c r="Z647" s="128"/>
      <c r="AA647" s="128"/>
    </row>
    <row r="648" spans="17:27" ht="13.2">
      <c r="Q648" s="119"/>
      <c r="R648" s="119"/>
      <c r="T648" s="128"/>
      <c r="U648" s="128"/>
      <c r="Z648" s="128"/>
      <c r="AA648" s="128"/>
    </row>
    <row r="649" spans="17:27" ht="13.2">
      <c r="Q649" s="119"/>
      <c r="R649" s="119"/>
      <c r="T649" s="128"/>
      <c r="U649" s="128"/>
      <c r="Z649" s="128"/>
      <c r="AA649" s="128"/>
    </row>
    <row r="650" spans="17:27" ht="13.2">
      <c r="Q650" s="119"/>
      <c r="R650" s="119"/>
      <c r="T650" s="128"/>
      <c r="U650" s="128"/>
      <c r="Z650" s="128"/>
      <c r="AA650" s="128"/>
    </row>
    <row r="651" spans="17:27" ht="13.2">
      <c r="Q651" s="119"/>
      <c r="R651" s="119"/>
      <c r="T651" s="128"/>
      <c r="U651" s="128"/>
      <c r="Z651" s="128"/>
      <c r="AA651" s="128"/>
    </row>
    <row r="652" spans="17:27" ht="13.2">
      <c r="Q652" s="119"/>
      <c r="R652" s="119"/>
      <c r="T652" s="128"/>
      <c r="U652" s="128"/>
      <c r="Z652" s="128"/>
      <c r="AA652" s="128"/>
    </row>
    <row r="653" spans="17:27" ht="13.2">
      <c r="Q653" s="119"/>
      <c r="R653" s="119"/>
      <c r="T653" s="128"/>
      <c r="U653" s="128"/>
      <c r="Z653" s="128"/>
      <c r="AA653" s="128"/>
    </row>
    <row r="654" spans="17:27" ht="13.2">
      <c r="Q654" s="119"/>
      <c r="R654" s="119"/>
      <c r="T654" s="128"/>
      <c r="U654" s="128"/>
      <c r="Z654" s="128"/>
      <c r="AA654" s="128"/>
    </row>
    <row r="655" spans="17:27" ht="13.2">
      <c r="Q655" s="119"/>
      <c r="R655" s="119"/>
      <c r="T655" s="128"/>
      <c r="U655" s="128"/>
      <c r="Z655" s="128"/>
      <c r="AA655" s="128"/>
    </row>
    <row r="656" spans="17:27" ht="13.2">
      <c r="Q656" s="119"/>
      <c r="R656" s="119"/>
      <c r="T656" s="128"/>
      <c r="U656" s="128"/>
      <c r="Z656" s="128"/>
      <c r="AA656" s="128"/>
    </row>
    <row r="657" spans="17:27" ht="13.2">
      <c r="Q657" s="119"/>
      <c r="R657" s="119"/>
      <c r="T657" s="128"/>
      <c r="U657" s="128"/>
      <c r="Z657" s="128"/>
      <c r="AA657" s="128"/>
    </row>
    <row r="658" spans="17:27" ht="13.2">
      <c r="Q658" s="119"/>
      <c r="R658" s="119"/>
      <c r="T658" s="128"/>
      <c r="U658" s="128"/>
      <c r="Z658" s="128"/>
      <c r="AA658" s="128"/>
    </row>
    <row r="659" spans="17:27" ht="13.2">
      <c r="Q659" s="119"/>
      <c r="R659" s="119"/>
      <c r="T659" s="128"/>
      <c r="U659" s="128"/>
      <c r="Z659" s="128"/>
      <c r="AA659" s="128"/>
    </row>
    <row r="660" spans="17:27" ht="13.2">
      <c r="Q660" s="119"/>
      <c r="R660" s="119"/>
      <c r="T660" s="128"/>
      <c r="U660" s="128"/>
      <c r="Z660" s="128"/>
      <c r="AA660" s="128"/>
    </row>
    <row r="661" spans="17:27" ht="13.2">
      <c r="Q661" s="119"/>
      <c r="R661" s="119"/>
      <c r="T661" s="128"/>
      <c r="U661" s="128"/>
      <c r="Z661" s="128"/>
      <c r="AA661" s="128"/>
    </row>
    <row r="662" spans="17:27" ht="13.2">
      <c r="Q662" s="119"/>
      <c r="R662" s="119"/>
      <c r="T662" s="128"/>
      <c r="U662" s="128"/>
      <c r="Z662" s="128"/>
      <c r="AA662" s="128"/>
    </row>
    <row r="663" spans="17:27" ht="13.2">
      <c r="Q663" s="119"/>
      <c r="R663" s="119"/>
      <c r="T663" s="128"/>
      <c r="U663" s="128"/>
      <c r="Z663" s="128"/>
      <c r="AA663" s="128"/>
    </row>
    <row r="664" spans="17:27" ht="13.2">
      <c r="Q664" s="119"/>
      <c r="R664" s="119"/>
      <c r="T664" s="128"/>
      <c r="U664" s="128"/>
      <c r="Z664" s="128"/>
      <c r="AA664" s="128"/>
    </row>
    <row r="665" spans="17:27" ht="13.2">
      <c r="Q665" s="119"/>
      <c r="R665" s="119"/>
      <c r="T665" s="128"/>
      <c r="U665" s="128"/>
      <c r="Z665" s="128"/>
      <c r="AA665" s="128"/>
    </row>
    <row r="666" spans="17:27" ht="13.2">
      <c r="Q666" s="119"/>
      <c r="R666" s="119"/>
      <c r="T666" s="128"/>
      <c r="U666" s="128"/>
      <c r="Z666" s="128"/>
      <c r="AA666" s="128"/>
    </row>
    <row r="667" spans="17:27" ht="13.2">
      <c r="Q667" s="119"/>
      <c r="R667" s="119"/>
      <c r="T667" s="128"/>
      <c r="U667" s="128"/>
      <c r="Z667" s="128"/>
      <c r="AA667" s="128"/>
    </row>
    <row r="668" spans="17:27" ht="13.2">
      <c r="Q668" s="119"/>
      <c r="R668" s="119"/>
      <c r="T668" s="128"/>
      <c r="U668" s="128"/>
      <c r="Z668" s="128"/>
      <c r="AA668" s="128"/>
    </row>
    <row r="669" spans="17:27" ht="13.2">
      <c r="Q669" s="119"/>
      <c r="R669" s="119"/>
      <c r="T669" s="128"/>
      <c r="U669" s="128"/>
      <c r="Z669" s="128"/>
      <c r="AA669" s="128"/>
    </row>
    <row r="670" spans="17:27" ht="13.2">
      <c r="Q670" s="119"/>
      <c r="R670" s="119"/>
      <c r="T670" s="128"/>
      <c r="U670" s="128"/>
      <c r="Z670" s="128"/>
      <c r="AA670" s="128"/>
    </row>
    <row r="671" spans="17:27" ht="13.2">
      <c r="Q671" s="119"/>
      <c r="R671" s="119"/>
      <c r="T671" s="128"/>
      <c r="U671" s="128"/>
      <c r="Z671" s="128"/>
      <c r="AA671" s="128"/>
    </row>
    <row r="672" spans="17:27" ht="13.2">
      <c r="Q672" s="119"/>
      <c r="R672" s="119"/>
      <c r="T672" s="128"/>
      <c r="U672" s="128"/>
      <c r="Z672" s="128"/>
      <c r="AA672" s="128"/>
    </row>
    <row r="673" spans="17:27" ht="13.2">
      <c r="Q673" s="119"/>
      <c r="R673" s="119"/>
      <c r="T673" s="128"/>
      <c r="U673" s="128"/>
      <c r="Z673" s="128"/>
      <c r="AA673" s="128"/>
    </row>
    <row r="674" spans="17:27" ht="13.2">
      <c r="Q674" s="119"/>
      <c r="R674" s="119"/>
      <c r="T674" s="128"/>
      <c r="U674" s="128"/>
      <c r="Z674" s="128"/>
      <c r="AA674" s="128"/>
    </row>
    <row r="675" spans="17:27" ht="13.2">
      <c r="Q675" s="119"/>
      <c r="R675" s="119"/>
      <c r="T675" s="128"/>
      <c r="U675" s="128"/>
      <c r="Z675" s="128"/>
      <c r="AA675" s="128"/>
    </row>
    <row r="676" spans="17:27" ht="13.2">
      <c r="Q676" s="119"/>
      <c r="R676" s="119"/>
      <c r="T676" s="128"/>
      <c r="U676" s="128"/>
      <c r="Z676" s="128"/>
      <c r="AA676" s="128"/>
    </row>
    <row r="677" spans="17:27" ht="13.2">
      <c r="Q677" s="119"/>
      <c r="R677" s="119"/>
      <c r="T677" s="128"/>
      <c r="U677" s="128"/>
      <c r="Z677" s="128"/>
      <c r="AA677" s="128"/>
    </row>
    <row r="678" spans="17:27" ht="13.2">
      <c r="Q678" s="119"/>
      <c r="R678" s="119"/>
      <c r="T678" s="128"/>
      <c r="U678" s="128"/>
      <c r="Z678" s="128"/>
      <c r="AA678" s="128"/>
    </row>
    <row r="679" spans="17:27" ht="13.2">
      <c r="Q679" s="119"/>
      <c r="R679" s="119"/>
      <c r="T679" s="128"/>
      <c r="U679" s="128"/>
      <c r="Z679" s="128"/>
      <c r="AA679" s="128"/>
    </row>
    <row r="680" spans="17:27" ht="13.2">
      <c r="Q680" s="119"/>
      <c r="R680" s="119"/>
      <c r="T680" s="128"/>
      <c r="U680" s="128"/>
      <c r="Z680" s="128"/>
      <c r="AA680" s="128"/>
    </row>
    <row r="681" spans="17:27" ht="13.2">
      <c r="Q681" s="119"/>
      <c r="R681" s="119"/>
      <c r="T681" s="128"/>
      <c r="U681" s="128"/>
      <c r="Z681" s="128"/>
      <c r="AA681" s="128"/>
    </row>
    <row r="682" spans="17:27" ht="13.2">
      <c r="Q682" s="119"/>
      <c r="R682" s="119"/>
      <c r="T682" s="128"/>
      <c r="U682" s="128"/>
      <c r="Z682" s="128"/>
      <c r="AA682" s="128"/>
    </row>
  </sheetData>
  <conditionalFormatting sqref="G9:G54 F54 G56:G91">
    <cfRule type="cellIs" dxfId="8" priority="1" operator="lessThan">
      <formula>0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F0"/>
    <outlinePr summaryBelow="0" summaryRight="0"/>
  </sheetPr>
  <dimension ref="A1:P46"/>
  <sheetViews>
    <sheetView workbookViewId="0">
      <selection activeCell="E5" sqref="E5"/>
    </sheetView>
  </sheetViews>
  <sheetFormatPr defaultColWidth="12.5546875" defaultRowHeight="15.75" customHeight="1"/>
  <cols>
    <col min="1" max="1" width="27.5546875" customWidth="1"/>
  </cols>
  <sheetData>
    <row r="1" spans="1:16" s="249" customFormat="1" ht="25.2" customHeight="1">
      <c r="A1" s="249" t="s">
        <v>745</v>
      </c>
    </row>
    <row r="3" spans="1:16" s="233" customFormat="1" ht="13.2">
      <c r="A3" s="232" t="s">
        <v>491</v>
      </c>
    </row>
    <row r="4" spans="1:16" ht="13.2">
      <c r="A4" s="20" t="s">
        <v>580</v>
      </c>
      <c r="B4" s="139">
        <v>2026</v>
      </c>
      <c r="C4" s="139">
        <v>2027</v>
      </c>
      <c r="D4" s="139">
        <v>2028</v>
      </c>
      <c r="E4" s="140">
        <v>2029</v>
      </c>
      <c r="F4" s="139">
        <v>2030</v>
      </c>
      <c r="G4" s="139">
        <v>2050</v>
      </c>
      <c r="I4" s="20" t="s">
        <v>581</v>
      </c>
      <c r="J4" s="139">
        <v>2026</v>
      </c>
      <c r="K4" s="139">
        <v>2027</v>
      </c>
      <c r="L4" s="139">
        <v>2028</v>
      </c>
      <c r="M4" s="140">
        <v>2029</v>
      </c>
      <c r="N4" s="139">
        <v>2030</v>
      </c>
      <c r="O4" s="139">
        <v>2050</v>
      </c>
      <c r="P4" s="158" t="s">
        <v>32</v>
      </c>
    </row>
    <row r="5" spans="1:16" ht="13.2">
      <c r="A5" s="20" t="s">
        <v>582</v>
      </c>
      <c r="B5" s="20">
        <f>'Project #3 - Res Building Retro'!B38</f>
        <v>0</v>
      </c>
      <c r="C5" s="21">
        <f>'Project #3 - Res Building Retro'!C38</f>
        <v>100</v>
      </c>
      <c r="D5" s="21">
        <f>'Project #3 - Res Building Retro'!D38</f>
        <v>250</v>
      </c>
      <c r="E5" s="21">
        <f>'Project #3 - Res Building Retro'!E38</f>
        <v>500</v>
      </c>
      <c r="F5" s="21">
        <f>'Project #3 - Res Building Retro'!F38</f>
        <v>1000</v>
      </c>
      <c r="G5" s="21">
        <f>'Project #3 - Res Building Retro'!G38</f>
        <v>1000</v>
      </c>
      <c r="I5" s="20" t="s">
        <v>582</v>
      </c>
      <c r="J5" s="127">
        <f t="shared" ref="J5:J6" si="0">B5*$B9</f>
        <v>0</v>
      </c>
      <c r="K5" s="127">
        <f t="shared" ref="K5:O5" si="1">(C5-B5)*$B9</f>
        <v>10900000</v>
      </c>
      <c r="L5" s="127">
        <f t="shared" si="1"/>
        <v>16350000</v>
      </c>
      <c r="M5" s="127">
        <f t="shared" si="1"/>
        <v>27250000</v>
      </c>
      <c r="N5" s="127">
        <f t="shared" si="1"/>
        <v>54500000</v>
      </c>
      <c r="O5" s="127">
        <f t="shared" si="1"/>
        <v>0</v>
      </c>
      <c r="P5" s="127">
        <f t="shared" ref="P5:P6" si="2">SUM(J5:O5)</f>
        <v>109000000</v>
      </c>
    </row>
    <row r="6" spans="1:16" ht="13.2">
      <c r="A6" s="20" t="s">
        <v>583</v>
      </c>
      <c r="B6" s="21">
        <f>'Project #3 - Com Building Retro'!B55</f>
        <v>0</v>
      </c>
      <c r="C6" s="21">
        <f>'Project #3 - Com Building Retro'!C55</f>
        <v>30000</v>
      </c>
      <c r="D6" s="21">
        <f>'Project #3 - Com Building Retro'!D55</f>
        <v>60000</v>
      </c>
      <c r="E6" s="21">
        <f>'Project #3 - Com Building Retro'!E55</f>
        <v>150000</v>
      </c>
      <c r="F6" s="21">
        <f>'Project #3 - Com Building Retro'!F55</f>
        <v>300000</v>
      </c>
      <c r="G6" s="21">
        <f>'Project #3 - Com Building Retro'!G55</f>
        <v>300000</v>
      </c>
      <c r="I6" s="20" t="s">
        <v>583</v>
      </c>
      <c r="J6" s="127">
        <f t="shared" si="0"/>
        <v>0</v>
      </c>
      <c r="K6" s="127">
        <f t="shared" ref="K6:O6" si="3">(C6-B6)*$B10</f>
        <v>1200000</v>
      </c>
      <c r="L6" s="127">
        <f t="shared" si="3"/>
        <v>1200000</v>
      </c>
      <c r="M6" s="127">
        <f t="shared" si="3"/>
        <v>3600000</v>
      </c>
      <c r="N6" s="127">
        <f t="shared" si="3"/>
        <v>6000000</v>
      </c>
      <c r="O6" s="127">
        <f t="shared" si="3"/>
        <v>0</v>
      </c>
      <c r="P6" s="127">
        <f t="shared" si="2"/>
        <v>12000000</v>
      </c>
    </row>
    <row r="7" spans="1:16" ht="13.2">
      <c r="P7" s="127">
        <f>SUM(P5:P6)</f>
        <v>121000000</v>
      </c>
    </row>
    <row r="8" spans="1:16" ht="13.2">
      <c r="A8" s="20" t="s">
        <v>584</v>
      </c>
    </row>
    <row r="9" spans="1:16" ht="13.2">
      <c r="A9" s="20" t="s">
        <v>585</v>
      </c>
      <c r="B9" s="127">
        <v>109000</v>
      </c>
      <c r="C9" s="20" t="s">
        <v>586</v>
      </c>
    </row>
    <row r="10" spans="1:16" ht="13.2">
      <c r="A10" s="20" t="s">
        <v>587</v>
      </c>
      <c r="B10" s="127">
        <v>40</v>
      </c>
      <c r="C10" s="20" t="s">
        <v>588</v>
      </c>
    </row>
    <row r="12" spans="1:16" ht="13.2">
      <c r="A12" s="19" t="s">
        <v>589</v>
      </c>
      <c r="G12" s="19" t="s">
        <v>590</v>
      </c>
    </row>
    <row r="46" spans="1:1" ht="13.2">
      <c r="A46" s="20" t="s">
        <v>591</v>
      </c>
    </row>
  </sheetData>
  <conditionalFormatting sqref="F4:G4 N4:P4">
    <cfRule type="cellIs" dxfId="7" priority="1" operator="lessThan">
      <formula>0</formula>
    </cfRule>
  </conditionalFormatting>
  <hyperlinks>
    <hyperlink ref="A12" r:id="rId1" xr:uid="{00000000-0004-0000-1400-000000000000}"/>
    <hyperlink ref="G12" r:id="rId2" xr:uid="{00000000-0004-0000-1400-000001000000}"/>
  </hyperlinks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F0"/>
    <outlinePr summaryBelow="0" summaryRight="0"/>
  </sheetPr>
  <dimension ref="A1:AG235"/>
  <sheetViews>
    <sheetView topLeftCell="O1" workbookViewId="0">
      <pane ySplit="8" topLeftCell="A9" activePane="bottomLeft" state="frozen"/>
      <selection activeCell="B2" sqref="B2:H2"/>
      <selection pane="bottomLeft" activeCell="P2" sqref="P2"/>
    </sheetView>
  </sheetViews>
  <sheetFormatPr defaultColWidth="12.5546875" defaultRowHeight="15.75" customHeight="1"/>
  <cols>
    <col min="1" max="1" width="18.88671875" customWidth="1"/>
    <col min="2" max="2" width="21.33203125" customWidth="1"/>
    <col min="3" max="3" width="23" customWidth="1"/>
    <col min="4" max="4" width="10.44140625" customWidth="1"/>
    <col min="5" max="5" width="11.109375" customWidth="1"/>
    <col min="6" max="6" width="10" customWidth="1"/>
    <col min="7" max="7" width="9.6640625" customWidth="1"/>
    <col min="8" max="8" width="18.109375" customWidth="1"/>
    <col min="21" max="21" width="6.109375" customWidth="1"/>
    <col min="27" max="27" width="6.109375" customWidth="1"/>
  </cols>
  <sheetData>
    <row r="1" spans="1:33" s="250" customFormat="1" ht="36" customHeight="1">
      <c r="O1" s="249" t="s">
        <v>746</v>
      </c>
    </row>
    <row r="2" spans="1:33" ht="13.2">
      <c r="B2" s="20"/>
      <c r="I2" s="20"/>
      <c r="P2" s="20"/>
      <c r="S2" s="20"/>
      <c r="T2" s="20"/>
    </row>
    <row r="3" spans="1:33" ht="13.2">
      <c r="B3" s="159" t="s">
        <v>2</v>
      </c>
      <c r="C3" s="73">
        <f>'Project Reductions Details'!C3</f>
        <v>2050</v>
      </c>
      <c r="E3" s="20"/>
      <c r="J3" s="116"/>
      <c r="P3" s="20"/>
      <c r="S3" s="20"/>
      <c r="T3" s="20"/>
    </row>
    <row r="4" spans="1:33" ht="13.2">
      <c r="B4" s="45" t="s">
        <v>554</v>
      </c>
      <c r="C4" s="145">
        <f>'Project Reductions Details'!B34</f>
        <v>0.5</v>
      </c>
      <c r="E4" s="45" t="s">
        <v>555</v>
      </c>
      <c r="F4" s="20">
        <f>'Project Reductions Details'!B38</f>
        <v>3</v>
      </c>
      <c r="H4" s="73"/>
      <c r="J4" s="116"/>
      <c r="P4" s="20"/>
      <c r="S4" s="20"/>
      <c r="T4" s="20"/>
    </row>
    <row r="5" spans="1:33" ht="13.2">
      <c r="B5" s="45" t="s">
        <v>556</v>
      </c>
      <c r="C5" s="145">
        <f>'Project Reductions Details'!B35</f>
        <v>0</v>
      </c>
      <c r="F5" s="20"/>
      <c r="P5" s="20"/>
      <c r="S5" s="20"/>
      <c r="T5" s="20"/>
    </row>
    <row r="6" spans="1:33" ht="13.2">
      <c r="B6" s="45" t="s">
        <v>557</v>
      </c>
      <c r="C6" s="145" t="str">
        <f>'Project Reductions Details'!B36</f>
        <v>Yes</v>
      </c>
      <c r="F6" s="20"/>
      <c r="H6" s="73"/>
      <c r="P6" s="20"/>
      <c r="S6" s="20"/>
      <c r="T6" s="20"/>
    </row>
    <row r="7" spans="1:33" ht="13.2">
      <c r="B7" s="45" t="s">
        <v>558</v>
      </c>
      <c r="C7" s="145" t="str">
        <f>'Project Reductions Details'!B37</f>
        <v>Yes</v>
      </c>
      <c r="F7" s="20"/>
      <c r="P7" s="20"/>
      <c r="S7" s="20"/>
      <c r="T7" s="20"/>
    </row>
    <row r="8" spans="1:33" ht="13.8">
      <c r="B8" s="159" t="s">
        <v>592</v>
      </c>
      <c r="C8" s="95">
        <f>IF(D8="VPP",'Project #2 - Virtual Power Plan'!I20,HLOOKUP(C3,'Emissions Factors'!$E$50:$AH$51,2,FALSE))/('res bld calcs'!P4*1000000)</f>
        <v>0.10166363459969451</v>
      </c>
      <c r="D8" s="20" t="str">
        <f>'Project Reductions Details'!B39</f>
        <v>Reference</v>
      </c>
      <c r="P8" s="160" t="s">
        <v>593</v>
      </c>
      <c r="S8" s="20"/>
      <c r="T8" s="20"/>
    </row>
    <row r="9" spans="1:33" ht="13.2">
      <c r="B9" s="45" t="s">
        <v>560</v>
      </c>
      <c r="C9" s="45"/>
      <c r="D9" s="45" t="s">
        <v>561</v>
      </c>
      <c r="E9" s="45" t="s">
        <v>594</v>
      </c>
      <c r="H9" s="45" t="s">
        <v>411</v>
      </c>
      <c r="M9" s="45"/>
      <c r="N9" s="45"/>
      <c r="O9" s="45"/>
      <c r="P9" s="45" t="s">
        <v>399</v>
      </c>
      <c r="Q9" s="45"/>
      <c r="R9" s="45"/>
      <c r="S9" s="45"/>
      <c r="T9" s="45"/>
      <c r="U9" s="45"/>
      <c r="V9" s="45" t="s">
        <v>595</v>
      </c>
      <c r="W9" s="45"/>
      <c r="X9" s="45"/>
      <c r="Y9" s="45"/>
      <c r="Z9" s="45"/>
      <c r="AA9" s="45"/>
      <c r="AB9" s="45" t="s">
        <v>411</v>
      </c>
      <c r="AC9" s="45"/>
      <c r="AD9" s="45"/>
      <c r="AE9" s="45"/>
      <c r="AF9" s="45"/>
    </row>
    <row r="10" spans="1:33" ht="15.75" customHeight="1">
      <c r="A10" s="108" t="str">
        <f t="shared" ref="A10:A21" si="0">B10&amp;C10</f>
        <v>GreeneMobile Home</v>
      </c>
      <c r="B10" s="20" t="s">
        <v>5</v>
      </c>
      <c r="C10" s="20" t="s">
        <v>366</v>
      </c>
      <c r="D10" s="125">
        <v>0</v>
      </c>
      <c r="E10" s="21">
        <f ca="1">SUMIF('new res bld calcs'!$C$8:$AE$8,"&lt;"&amp;$C$3+1,OFFSET('new res bld calcs'!$C$8:$AE$8,MATCH($B10,'new res bld calcs'!$A$9:$A$11),0))*VLOOKUP(A10,'res bld data'!$A$3:$H$37,7,FALSE)/SUMIF('res bld data'!$B$3:$B$14,$B10,'res bld data'!$G$3:$G$14)</f>
        <v>237.16837753413793</v>
      </c>
      <c r="F10" s="124">
        <f t="shared" ref="F10:F21" ca="1" si="1">E10-D10</f>
        <v>237.16837753413793</v>
      </c>
      <c r="G10" s="20"/>
      <c r="H10" s="20"/>
      <c r="I10" s="146" t="s">
        <v>0</v>
      </c>
      <c r="J10" s="146" t="s">
        <v>14</v>
      </c>
      <c r="K10" s="147" t="s">
        <v>32</v>
      </c>
      <c r="L10" s="20"/>
      <c r="M10" s="45"/>
      <c r="N10" s="45"/>
      <c r="O10" s="45"/>
      <c r="P10" s="208" t="s">
        <v>596</v>
      </c>
      <c r="Q10" s="208" t="s">
        <v>597</v>
      </c>
      <c r="R10" s="45"/>
      <c r="S10" s="45" t="s">
        <v>400</v>
      </c>
      <c r="T10" s="45" t="s">
        <v>400</v>
      </c>
      <c r="U10" s="45"/>
      <c r="V10" s="45" t="s">
        <v>399</v>
      </c>
      <c r="W10" s="45"/>
      <c r="X10" s="45"/>
      <c r="Y10" s="45" t="s">
        <v>400</v>
      </c>
      <c r="Z10" s="45" t="s">
        <v>400</v>
      </c>
      <c r="AA10" s="45"/>
      <c r="AB10" s="45" t="s">
        <v>399</v>
      </c>
      <c r="AC10" s="45"/>
      <c r="AD10" s="45"/>
      <c r="AE10" s="45" t="s">
        <v>400</v>
      </c>
      <c r="AF10" s="45" t="s">
        <v>400</v>
      </c>
      <c r="AG10" s="20"/>
    </row>
    <row r="11" spans="1:33" ht="13.2">
      <c r="A11" s="108" t="str">
        <f t="shared" si="0"/>
        <v>GreeneMulti-Family Apartment</v>
      </c>
      <c r="B11" s="20" t="s">
        <v>5</v>
      </c>
      <c r="C11" s="20" t="s">
        <v>371</v>
      </c>
      <c r="D11" s="125">
        <v>0</v>
      </c>
      <c r="E11" s="21">
        <f ca="1">SUMIF('new res bld calcs'!$C$8:$AE$8,"&lt;"&amp;$C$3+1,OFFSET('new res bld calcs'!$C$8:$AE$8,MATCH($B11,'new res bld calcs'!$A$9:$A$11),0))*VLOOKUP(A11,'res bld data'!$A$3:$H$37,7,FALSE)/SUMIF('res bld data'!$B$3:$B$14,$B11,'res bld data'!$G$3:$G$14)</f>
        <v>4283.2550924310954</v>
      </c>
      <c r="F11" s="124">
        <f t="shared" ca="1" si="1"/>
        <v>4283.2550924310954</v>
      </c>
      <c r="H11" s="148" t="s">
        <v>407</v>
      </c>
      <c r="I11" s="149">
        <f t="shared" ref="I11:J11" ca="1" si="2">SUM(AE$12:AE$95)</f>
        <v>3933580.8903075904</v>
      </c>
      <c r="J11" s="149">
        <f t="shared" ca="1" si="2"/>
        <v>5087706.5664736852</v>
      </c>
      <c r="K11" s="150">
        <f t="shared" ref="K11:K12" ca="1" si="3">SUM(I11:J11)</f>
        <v>9021287.4567812756</v>
      </c>
      <c r="M11" s="45" t="s">
        <v>27</v>
      </c>
      <c r="N11" s="45" t="s">
        <v>403</v>
      </c>
      <c r="O11" s="45" t="s">
        <v>404</v>
      </c>
      <c r="P11" s="45" t="s">
        <v>283</v>
      </c>
      <c r="Q11" s="45" t="s">
        <v>363</v>
      </c>
      <c r="R11" s="45" t="s">
        <v>405</v>
      </c>
      <c r="S11" s="45" t="s">
        <v>0</v>
      </c>
      <c r="T11" s="45" t="s">
        <v>14</v>
      </c>
      <c r="U11" s="45"/>
      <c r="V11" s="45" t="s">
        <v>283</v>
      </c>
      <c r="W11" s="45" t="s">
        <v>363</v>
      </c>
      <c r="X11" s="45" t="s">
        <v>405</v>
      </c>
      <c r="Y11" s="45" t="s">
        <v>0</v>
      </c>
      <c r="Z11" s="45" t="s">
        <v>14</v>
      </c>
      <c r="AA11" s="45"/>
      <c r="AB11" s="45" t="s">
        <v>283</v>
      </c>
      <c r="AC11" s="45" t="s">
        <v>363</v>
      </c>
      <c r="AD11" s="45" t="s">
        <v>405</v>
      </c>
      <c r="AE11" s="45" t="s">
        <v>0</v>
      </c>
      <c r="AF11" s="45" t="s">
        <v>14</v>
      </c>
      <c r="AG11" s="20"/>
    </row>
    <row r="12" spans="1:33" ht="13.2">
      <c r="A12" s="108" t="str">
        <f t="shared" si="0"/>
        <v>GreeneAttached Condo Building</v>
      </c>
      <c r="B12" s="20" t="s">
        <v>5</v>
      </c>
      <c r="C12" s="20" t="s">
        <v>373</v>
      </c>
      <c r="D12" s="125">
        <v>0</v>
      </c>
      <c r="E12" s="21">
        <f ca="1">SUMIF('new res bld calcs'!$C$8:$AE$8,"&lt;"&amp;$C$3+1,OFFSET('new res bld calcs'!$C$8:$AE$8,MATCH($B12,'new res bld calcs'!$A$9:$A$11),0))*VLOOKUP(A12,'res bld data'!$A$3:$H$37,7,FALSE)/SUMIF('res bld data'!$B$3:$B$14,$B12,'res bld data'!$G$3:$G$14)</f>
        <v>1119.3650719359066</v>
      </c>
      <c r="F12" s="124">
        <f t="shared" ca="1" si="1"/>
        <v>1119.3650719359066</v>
      </c>
      <c r="H12" s="151" t="s">
        <v>409</v>
      </c>
      <c r="I12" s="152">
        <f ca="1">I11*C8</f>
        <v>399902.13030057185</v>
      </c>
      <c r="J12" s="152">
        <f ca="1">J11*'Emissions Factors'!E52</f>
        <v>270046.81544726016</v>
      </c>
      <c r="K12" s="153">
        <f t="shared" ca="1" si="3"/>
        <v>669948.94574783207</v>
      </c>
      <c r="M12" s="20" t="s">
        <v>5</v>
      </c>
      <c r="N12" s="20" t="s">
        <v>366</v>
      </c>
      <c r="O12" s="20" t="s">
        <v>369</v>
      </c>
      <c r="P12" s="46">
        <f t="shared" ref="P12:Q12" ca="1" si="4">(1-$C$5)*V12</f>
        <v>2.8675391078366421</v>
      </c>
      <c r="Q12" s="46">
        <f t="shared" ca="1" si="4"/>
        <v>0</v>
      </c>
      <c r="R12" s="21">
        <f t="shared" ref="R12:R95" si="5">VLOOKUP(M12&amp;N12,$A$10:$D$32,4,FALSE)</f>
        <v>0</v>
      </c>
      <c r="S12" s="128">
        <f t="shared" ref="S12:T12" ca="1" si="6">$R12*P12</f>
        <v>0</v>
      </c>
      <c r="T12" s="128">
        <f t="shared" ca="1" si="6"/>
        <v>0</v>
      </c>
      <c r="V12" s="75">
        <f t="array" ref="V12:W235" ca="1">'res bld calcs'!E3:F226</f>
        <v>2.8675391078366421</v>
      </c>
      <c r="W12" s="75">
        <f ca="1"/>
        <v>0</v>
      </c>
      <c r="X12" s="21">
        <f t="shared" ref="X12:X95" ca="1" si="7">SUMIF($A$10:$A$21,M12&amp;N12,$E$10:$E$21)-R12</f>
        <v>237.16837753413793</v>
      </c>
      <c r="Y12" s="128">
        <f t="shared" ref="Y12:Z12" ca="1" si="8">$X12*V12</f>
        <v>680.08959772130584</v>
      </c>
      <c r="Z12" s="128">
        <f t="shared" ca="1" si="8"/>
        <v>0</v>
      </c>
      <c r="AA12" s="128"/>
      <c r="AB12" s="161">
        <f t="shared" ref="AB12:AC12" ca="1" si="9">V12</f>
        <v>2.8675391078366421</v>
      </c>
      <c r="AC12" s="161">
        <f t="shared" ca="1" si="9"/>
        <v>0</v>
      </c>
      <c r="AD12" s="128">
        <f t="shared" ref="AD12:AD95" ca="1" si="10">SUMIF($A$10:$A$21,M12&amp;N12,$E$10:$E$21)</f>
        <v>237.16837753413793</v>
      </c>
      <c r="AE12" s="128">
        <f t="shared" ref="AE12:AF12" ca="1" si="11">$AD12*AB12</f>
        <v>680.08959772130584</v>
      </c>
      <c r="AF12" s="128">
        <f t="shared" ca="1" si="11"/>
        <v>0</v>
      </c>
      <c r="AG12" s="128"/>
    </row>
    <row r="13" spans="1:33" ht="13.2">
      <c r="A13" s="108" t="str">
        <f t="shared" si="0"/>
        <v>GreeneSingle-Family Housing</v>
      </c>
      <c r="B13" s="20" t="s">
        <v>5</v>
      </c>
      <c r="C13" s="20" t="s">
        <v>370</v>
      </c>
      <c r="D13" s="125">
        <v>0</v>
      </c>
      <c r="E13" s="21">
        <f ca="1">SUMIF('new res bld calcs'!$C$8:$AE$8,"&lt;"&amp;$C$3+1,OFFSET('new res bld calcs'!$C$8:$AE$8,MATCH($B13,'new res bld calcs'!$A$9:$A$11),0))*VLOOKUP(A13,'res bld data'!$A$3:$H$37,7,FALSE)/SUMIF('res bld data'!$B$3:$B$14,$B13,'res bld data'!$G$3:$G$14)</f>
        <v>14966.572877022703</v>
      </c>
      <c r="F13" s="124">
        <f t="shared" ca="1" si="1"/>
        <v>14966.572877022703</v>
      </c>
      <c r="M13" s="20" t="s">
        <v>5</v>
      </c>
      <c r="N13" s="20" t="s">
        <v>366</v>
      </c>
      <c r="O13" s="20" t="s">
        <v>372</v>
      </c>
      <c r="P13" s="46">
        <f t="shared" ref="P13:Q13" ca="1" si="12">(1-$C$5)*V13</f>
        <v>7.2435165235256127</v>
      </c>
      <c r="Q13" s="46">
        <f t="shared" ca="1" si="12"/>
        <v>0.77044639659470038</v>
      </c>
      <c r="R13" s="21">
        <f t="shared" si="5"/>
        <v>0</v>
      </c>
      <c r="S13" s="128">
        <f t="shared" ref="S13:T13" ca="1" si="13">$R13*P13</f>
        <v>0</v>
      </c>
      <c r="T13" s="128">
        <f t="shared" ca="1" si="13"/>
        <v>0</v>
      </c>
      <c r="V13" s="75">
        <f ca="1"/>
        <v>7.2435165235256127</v>
      </c>
      <c r="W13" s="75">
        <f ca="1"/>
        <v>0.77044639659470038</v>
      </c>
      <c r="X13" s="21">
        <f t="shared" ca="1" si="7"/>
        <v>237.16837753413793</v>
      </c>
      <c r="Y13" s="128">
        <f t="shared" ref="Y13:Z13" ca="1" si="14">$X13*V13</f>
        <v>1717.9330615262888</v>
      </c>
      <c r="Z13" s="128">
        <f t="shared" ca="1" si="14"/>
        <v>182.72552185738806</v>
      </c>
      <c r="AA13" s="128"/>
      <c r="AB13" s="161">
        <f t="shared" ref="AB13:AC13" ca="1" si="15">V13</f>
        <v>7.2435165235256127</v>
      </c>
      <c r="AC13" s="161">
        <f t="shared" ca="1" si="15"/>
        <v>0.77044639659470038</v>
      </c>
      <c r="AD13" s="128">
        <f t="shared" ca="1" si="10"/>
        <v>237.16837753413793</v>
      </c>
      <c r="AE13" s="128">
        <f t="shared" ref="AE13:AF13" ca="1" si="16">$AD13*AB13</f>
        <v>1717.9330615262888</v>
      </c>
      <c r="AF13" s="128">
        <f t="shared" ca="1" si="16"/>
        <v>182.72552185738806</v>
      </c>
      <c r="AG13" s="128"/>
    </row>
    <row r="14" spans="1:33" ht="13.2">
      <c r="A14" s="108" t="str">
        <f t="shared" si="0"/>
        <v>MiamiMobile Home</v>
      </c>
      <c r="B14" s="20" t="s">
        <v>9</v>
      </c>
      <c r="C14" s="20" t="s">
        <v>366</v>
      </c>
      <c r="D14" s="125">
        <v>0</v>
      </c>
      <c r="E14" s="21">
        <f ca="1">SUMIF('new res bld calcs'!$C$8:$AE$8,"&lt;"&amp;$C$3+1,OFFSET('new res bld calcs'!$C$8:$AE$8,MATCH($B14,'new res bld calcs'!$A$9:$A$11),0))*VLOOKUP(A14,'res bld data'!$A$3:$H$37,7,FALSE)/SUMIF('res bld data'!$B$3:$B$14,$B14,'res bld data'!$G$3:$G$14)</f>
        <v>230.20137501171459</v>
      </c>
      <c r="F14" s="124">
        <f t="shared" ca="1" si="1"/>
        <v>230.20137501171459</v>
      </c>
      <c r="H14" s="45" t="s">
        <v>522</v>
      </c>
      <c r="M14" s="20" t="s">
        <v>5</v>
      </c>
      <c r="N14" s="20" t="s">
        <v>366</v>
      </c>
      <c r="O14" s="20" t="s">
        <v>374</v>
      </c>
      <c r="P14" s="46">
        <f t="shared" ref="P14:Q14" ca="1" si="17">(1-$C$5)*V14</f>
        <v>9.7225055436893069</v>
      </c>
      <c r="Q14" s="46">
        <f t="shared" ca="1" si="17"/>
        <v>0</v>
      </c>
      <c r="R14" s="21">
        <f t="shared" si="5"/>
        <v>0</v>
      </c>
      <c r="S14" s="128">
        <f t="shared" ref="S14:T14" ca="1" si="18">$R14*P14</f>
        <v>0</v>
      </c>
      <c r="T14" s="128">
        <f t="shared" ca="1" si="18"/>
        <v>0</v>
      </c>
      <c r="V14" s="75">
        <f ca="1"/>
        <v>9.7225055436893069</v>
      </c>
      <c r="W14" s="75">
        <f ca="1"/>
        <v>0</v>
      </c>
      <c r="X14" s="21">
        <f t="shared" ca="1" si="7"/>
        <v>237.16837753413793</v>
      </c>
      <c r="Y14" s="128">
        <f t="shared" ref="Y14:Z14" ca="1" si="19">$X14*V14</f>
        <v>2305.8708653634544</v>
      </c>
      <c r="Z14" s="128">
        <f t="shared" ca="1" si="19"/>
        <v>0</v>
      </c>
      <c r="AA14" s="128"/>
      <c r="AB14" s="161">
        <f t="shared" ref="AB14:AC14" ca="1" si="20">V14</f>
        <v>9.7225055436893069</v>
      </c>
      <c r="AC14" s="161">
        <f t="shared" ca="1" si="20"/>
        <v>0</v>
      </c>
      <c r="AD14" s="128">
        <f t="shared" ca="1" si="10"/>
        <v>237.16837753413793</v>
      </c>
      <c r="AE14" s="128">
        <f t="shared" ref="AE14:AF14" ca="1" si="21">$AD14*AB14</f>
        <v>2305.8708653634544</v>
      </c>
      <c r="AF14" s="128">
        <f t="shared" ca="1" si="21"/>
        <v>0</v>
      </c>
      <c r="AG14" s="128"/>
    </row>
    <row r="15" spans="1:33" ht="13.2">
      <c r="A15" s="108" t="str">
        <f t="shared" si="0"/>
        <v>MiamiMulti-Family Apartment</v>
      </c>
      <c r="B15" s="20" t="s">
        <v>9</v>
      </c>
      <c r="C15" s="20" t="s">
        <v>371</v>
      </c>
      <c r="D15" s="125">
        <v>0</v>
      </c>
      <c r="E15" s="21">
        <f ca="1">SUMIF('new res bld calcs'!$C$8:$AE$8,"&lt;"&amp;$C$3+1,OFFSET('new res bld calcs'!$C$8:$AE$8,MATCH($B15,'new res bld calcs'!$A$9:$A$11),0))*VLOOKUP(A15,'res bld data'!$A$3:$H$37,7,FALSE)/SUMIF('res bld data'!$B$3:$B$14,$B15,'res bld data'!$G$3:$G$14)</f>
        <v>2046.8472827334169</v>
      </c>
      <c r="F15" s="124">
        <f t="shared" ca="1" si="1"/>
        <v>2046.8472827334169</v>
      </c>
      <c r="I15" s="146" t="s">
        <v>0</v>
      </c>
      <c r="J15" s="146" t="s">
        <v>14</v>
      </c>
      <c r="K15" s="147" t="s">
        <v>32</v>
      </c>
      <c r="M15" s="20" t="s">
        <v>5</v>
      </c>
      <c r="N15" s="20" t="s">
        <v>366</v>
      </c>
      <c r="O15" s="20" t="s">
        <v>375</v>
      </c>
      <c r="P15" s="46">
        <f t="shared" ref="P15:Q15" ca="1" si="22">(1-$C$5)*V15</f>
        <v>7.3714731247348739</v>
      </c>
      <c r="Q15" s="46">
        <f t="shared" ca="1" si="22"/>
        <v>0</v>
      </c>
      <c r="R15" s="21">
        <f t="shared" si="5"/>
        <v>0</v>
      </c>
      <c r="S15" s="128">
        <f t="shared" ref="S15:T15" ca="1" si="23">$R15*P15</f>
        <v>0</v>
      </c>
      <c r="T15" s="128">
        <f t="shared" ca="1" si="23"/>
        <v>0</v>
      </c>
      <c r="V15" s="75">
        <f ca="1"/>
        <v>7.3714731247348739</v>
      </c>
      <c r="W15" s="75">
        <f ca="1"/>
        <v>0</v>
      </c>
      <c r="X15" s="21">
        <f t="shared" ca="1" si="7"/>
        <v>237.16837753413793</v>
      </c>
      <c r="Y15" s="128">
        <f t="shared" ref="Y15:Z15" ca="1" si="24">$X15*V15</f>
        <v>1748.2803210298721</v>
      </c>
      <c r="Z15" s="128">
        <f t="shared" ca="1" si="24"/>
        <v>0</v>
      </c>
      <c r="AA15" s="128"/>
      <c r="AB15" s="161">
        <f t="shared" ref="AB15:AC15" ca="1" si="25">V15</f>
        <v>7.3714731247348739</v>
      </c>
      <c r="AC15" s="161">
        <f t="shared" ca="1" si="25"/>
        <v>0</v>
      </c>
      <c r="AD15" s="128">
        <f t="shared" ca="1" si="10"/>
        <v>237.16837753413793</v>
      </c>
      <c r="AE15" s="128">
        <f t="shared" ref="AE15:AF15" ca="1" si="26">$AD15*AB15</f>
        <v>1748.2803210298721</v>
      </c>
      <c r="AF15" s="128">
        <f t="shared" ca="1" si="26"/>
        <v>0</v>
      </c>
      <c r="AG15" s="128"/>
    </row>
    <row r="16" spans="1:33" ht="13.2">
      <c r="A16" s="108" t="str">
        <f t="shared" si="0"/>
        <v>MiamiAttached Condo Building</v>
      </c>
      <c r="B16" s="20" t="s">
        <v>9</v>
      </c>
      <c r="C16" s="20" t="s">
        <v>373</v>
      </c>
      <c r="D16" s="125">
        <v>0</v>
      </c>
      <c r="E16" s="21">
        <f ca="1">SUMIF('new res bld calcs'!$C$8:$AE$8,"&lt;"&amp;$C$3+1,OFFSET('new res bld calcs'!$C$8:$AE$8,MATCH($B16,'new res bld calcs'!$A$9:$A$11),0))*VLOOKUP(A16,'res bld data'!$A$3:$H$37,7,FALSE)/SUMIF('res bld data'!$B$3:$B$14,$B16,'res bld data'!$G$3:$G$14)</f>
        <v>511.78439362629621</v>
      </c>
      <c r="F16" s="124">
        <f t="shared" ca="1" si="1"/>
        <v>511.78439362629621</v>
      </c>
      <c r="H16" s="148" t="s">
        <v>407</v>
      </c>
      <c r="I16" s="149">
        <f ca="1">SUM(S12:S95)+SUM(Y12:Y95)</f>
        <v>3935419.3550668913</v>
      </c>
      <c r="J16" s="149">
        <f ca="1">SUM(T12:T235)+SUM(Z12:Z235)</f>
        <v>5077841.1967021162</v>
      </c>
      <c r="K16" s="150">
        <f ca="1">I16+J16</f>
        <v>9013260.551769007</v>
      </c>
      <c r="M16" s="20" t="s">
        <v>5</v>
      </c>
      <c r="N16" s="20" t="s">
        <v>366</v>
      </c>
      <c r="O16" s="20" t="s">
        <v>376</v>
      </c>
      <c r="P16" s="46">
        <f t="shared" ref="P16:Q16" ca="1" si="27">(1-$C$5)*V16</f>
        <v>11.67194231498674</v>
      </c>
      <c r="Q16" s="46">
        <f t="shared" ca="1" si="27"/>
        <v>0</v>
      </c>
      <c r="R16" s="21">
        <f t="shared" si="5"/>
        <v>0</v>
      </c>
      <c r="S16" s="128">
        <f t="shared" ref="S16:T16" ca="1" si="28">$R16*P16</f>
        <v>0</v>
      </c>
      <c r="T16" s="128">
        <f t="shared" ca="1" si="28"/>
        <v>0</v>
      </c>
      <c r="V16" s="75">
        <f ca="1"/>
        <v>11.67194231498674</v>
      </c>
      <c r="W16" s="75">
        <f ca="1"/>
        <v>0</v>
      </c>
      <c r="X16" s="21">
        <f t="shared" ca="1" si="7"/>
        <v>237.16837753413793</v>
      </c>
      <c r="Y16" s="128">
        <f t="shared" ref="Y16:Z16" ca="1" si="29">$X16*V16</f>
        <v>2768.215621517455</v>
      </c>
      <c r="Z16" s="128">
        <f t="shared" ca="1" si="29"/>
        <v>0</v>
      </c>
      <c r="AA16" s="128"/>
      <c r="AB16" s="161">
        <f t="shared" ref="AB16:AC16" ca="1" si="30">V16</f>
        <v>11.67194231498674</v>
      </c>
      <c r="AC16" s="161">
        <f t="shared" ca="1" si="30"/>
        <v>0</v>
      </c>
      <c r="AD16" s="128">
        <f t="shared" ca="1" si="10"/>
        <v>237.16837753413793</v>
      </c>
      <c r="AE16" s="128">
        <f t="shared" ref="AE16:AF16" ca="1" si="31">$AD16*AB16</f>
        <v>2768.215621517455</v>
      </c>
      <c r="AF16" s="128">
        <f t="shared" ca="1" si="31"/>
        <v>0</v>
      </c>
      <c r="AG16" s="128"/>
    </row>
    <row r="17" spans="1:33" ht="13.2">
      <c r="A17" s="108" t="str">
        <f t="shared" si="0"/>
        <v>MiamiSingle-Family Housing</v>
      </c>
      <c r="B17" s="20" t="s">
        <v>9</v>
      </c>
      <c r="C17" s="20" t="s">
        <v>370</v>
      </c>
      <c r="D17" s="125">
        <v>0</v>
      </c>
      <c r="E17" s="21">
        <f ca="1">SUMIF('new res bld calcs'!$C$8:$AE$8,"&lt;"&amp;$C$3+1,OFFSET('new res bld calcs'!$C$8:$AE$8,MATCH($B17,'new res bld calcs'!$A$9:$A$11),0))*VLOOKUP(A17,'res bld data'!$A$3:$H$37,7,FALSE)/SUMIF('res bld data'!$B$3:$B$14,$B17,'res bld data'!$G$3:$G$14)</f>
        <v>10712.637253540106</v>
      </c>
      <c r="F17" s="124">
        <f t="shared" ca="1" si="1"/>
        <v>10712.637253540106</v>
      </c>
      <c r="H17" s="40" t="s">
        <v>598</v>
      </c>
      <c r="I17" s="21">
        <f ca="1">0.7*SUM(S12:S95)</f>
        <v>6235.9878452181792</v>
      </c>
      <c r="J17" s="21"/>
      <c r="K17" s="162"/>
      <c r="M17" s="20" t="s">
        <v>5</v>
      </c>
      <c r="N17" s="20" t="s">
        <v>366</v>
      </c>
      <c r="O17" s="20" t="s">
        <v>377</v>
      </c>
      <c r="P17" s="46">
        <f ca="1">IF($C$6="Yes",((1-$C$4)*W17/$F$4)+V17,(1-$C$4)*V17)</f>
        <v>6.964484844791599</v>
      </c>
      <c r="Q17" s="46">
        <f>IF($C$6="Yes",0,(1-$C$4)*W17)</f>
        <v>0</v>
      </c>
      <c r="R17" s="21">
        <f t="shared" si="5"/>
        <v>0</v>
      </c>
      <c r="S17" s="128">
        <f t="shared" ref="S17:T17" ca="1" si="32">$R17*P17</f>
        <v>0</v>
      </c>
      <c r="T17" s="128">
        <f t="shared" si="32"/>
        <v>0</v>
      </c>
      <c r="V17" s="75">
        <f ca="1"/>
        <v>0.85760840706072683</v>
      </c>
      <c r="W17" s="75">
        <f ca="1"/>
        <v>36.64125862638523</v>
      </c>
      <c r="X17" s="21">
        <f t="shared" ca="1" si="7"/>
        <v>237.16837753413793</v>
      </c>
      <c r="Y17" s="128">
        <f t="shared" ref="Y17:Z17" ca="1" si="33">$X17*V17</f>
        <v>203.39759446222911</v>
      </c>
      <c r="Z17" s="128">
        <f t="shared" ca="1" si="33"/>
        <v>8690.1478592285202</v>
      </c>
      <c r="AA17" s="128"/>
      <c r="AB17" s="161">
        <f t="shared" ref="AB17:AC17" ca="1" si="34">V17</f>
        <v>0.85760840706072683</v>
      </c>
      <c r="AC17" s="161">
        <f t="shared" ca="1" si="34"/>
        <v>36.64125862638523</v>
      </c>
      <c r="AD17" s="128">
        <f t="shared" ca="1" si="10"/>
        <v>237.16837753413793</v>
      </c>
      <c r="AE17" s="128">
        <f t="shared" ref="AE17:AF17" ca="1" si="35">$AD17*AB17</f>
        <v>203.39759446222911</v>
      </c>
      <c r="AF17" s="128">
        <f t="shared" ca="1" si="35"/>
        <v>8690.1478592285202</v>
      </c>
      <c r="AG17" s="128"/>
    </row>
    <row r="18" spans="1:33" ht="13.2">
      <c r="A18" s="108" t="str">
        <f t="shared" si="0"/>
        <v>MontgomeryMobile Home</v>
      </c>
      <c r="B18" s="20" t="s">
        <v>10</v>
      </c>
      <c r="C18" s="20" t="s">
        <v>366</v>
      </c>
      <c r="D18" s="125">
        <v>0</v>
      </c>
      <c r="E18" s="21">
        <f ca="1">SUMIF('new res bld calcs'!$C$8:$AE$8,"&lt;"&amp;$C$3+1,OFFSET('new res bld calcs'!$C$8:$AE$8,MATCH($B18,'new res bld calcs'!$A$9:$A$11),0))*VLOOKUP(A18,'res bld data'!$A$3:$H$37,7,FALSE)/SUMIF('res bld data'!$B$3:$B$14,$B18,'res bld data'!$G$3:$G$14)</f>
        <v>1024.7299543396625</v>
      </c>
      <c r="F18" s="124">
        <f t="shared" ca="1" si="1"/>
        <v>1024.7299543396625</v>
      </c>
      <c r="H18" s="151" t="s">
        <v>409</v>
      </c>
      <c r="I18" s="152">
        <f ca="1">(I16-I17)*C8</f>
        <v>399455.06212042144</v>
      </c>
      <c r="J18" s="152">
        <f ca="1">J16*'Emissions Factors'!E52</f>
        <v>269523.17839091393</v>
      </c>
      <c r="K18" s="153">
        <f ca="1">I18+J18</f>
        <v>668978.24051133543</v>
      </c>
      <c r="M18" s="20" t="s">
        <v>5</v>
      </c>
      <c r="N18" s="20" t="s">
        <v>366</v>
      </c>
      <c r="O18" s="20" t="s">
        <v>378</v>
      </c>
      <c r="P18" s="46">
        <f ca="1">IF($C$7="Yes",((1-$C$5)*W18/$F$4)+V18,(1-$C$5)*V18)</f>
        <v>1.6950206332031128</v>
      </c>
      <c r="Q18" s="46">
        <f>IF($C$7="Yes",0,(1-$C$5)*W18)</f>
        <v>0</v>
      </c>
      <c r="R18" s="21">
        <f t="shared" si="5"/>
        <v>0</v>
      </c>
      <c r="S18" s="128">
        <f t="shared" ref="S18:T18" ca="1" si="36">$R18*P18</f>
        <v>0</v>
      </c>
      <c r="T18" s="128">
        <f t="shared" si="36"/>
        <v>0</v>
      </c>
      <c r="V18" s="75">
        <f ca="1"/>
        <v>0</v>
      </c>
      <c r="W18" s="75">
        <f ca="1"/>
        <v>5.0850618996093386</v>
      </c>
      <c r="X18" s="21">
        <f t="shared" ca="1" si="7"/>
        <v>237.16837753413793</v>
      </c>
      <c r="Y18" s="128">
        <f t="shared" ref="Y18:Z18" ca="1" si="37">$X18*V18</f>
        <v>0</v>
      </c>
      <c r="Z18" s="128">
        <f t="shared" ca="1" si="37"/>
        <v>1206.0158803910083</v>
      </c>
      <c r="AA18" s="128"/>
      <c r="AB18" s="161">
        <f t="shared" ref="AB18:AC18" ca="1" si="38">V18</f>
        <v>0</v>
      </c>
      <c r="AC18" s="161">
        <f t="shared" ca="1" si="38"/>
        <v>5.0850618996093386</v>
      </c>
      <c r="AD18" s="128">
        <f t="shared" ca="1" si="10"/>
        <v>237.16837753413793</v>
      </c>
      <c r="AE18" s="128">
        <f t="shared" ref="AE18:AF18" ca="1" si="39">$AD18*AB18</f>
        <v>0</v>
      </c>
      <c r="AF18" s="128">
        <f t="shared" ca="1" si="39"/>
        <v>1206.0158803910083</v>
      </c>
      <c r="AG18" s="128"/>
    </row>
    <row r="19" spans="1:33" ht="13.2">
      <c r="A19" s="108" t="str">
        <f t="shared" si="0"/>
        <v>MontgomeryMulti-Family Apartment</v>
      </c>
      <c r="B19" s="20" t="s">
        <v>10</v>
      </c>
      <c r="C19" s="20" t="s">
        <v>371</v>
      </c>
      <c r="D19" s="125">
        <v>0</v>
      </c>
      <c r="E19" s="21">
        <f ca="1">SUMIF('new res bld calcs'!$C$8:$AE$8,"&lt;"&amp;$C$3+1,OFFSET('new res bld calcs'!$C$8:$AE$8,MATCH($B19,'new res bld calcs'!$A$9:$A$11),0))*VLOOKUP(A19,'res bld data'!$A$3:$H$37,7,FALSE)/SUMIF('res bld data'!$B$3:$B$14,$B19,'res bld data'!$G$3:$G$14)</f>
        <v>17692.412613920518</v>
      </c>
      <c r="F19" s="124">
        <f t="shared" ca="1" si="1"/>
        <v>17692.412613920518</v>
      </c>
      <c r="M19" s="20" t="s">
        <v>5</v>
      </c>
      <c r="N19" s="20" t="s">
        <v>371</v>
      </c>
      <c r="O19" s="20" t="s">
        <v>369</v>
      </c>
      <c r="P19" s="46">
        <f t="shared" ref="P19:Q19" ca="1" si="40">(1-$C$5)*V19</f>
        <v>3.9206774734109961</v>
      </c>
      <c r="Q19" s="46">
        <f t="shared" ca="1" si="40"/>
        <v>0</v>
      </c>
      <c r="R19" s="21">
        <f t="shared" si="5"/>
        <v>0</v>
      </c>
      <c r="S19" s="128">
        <f t="shared" ref="S19:T19" ca="1" si="41">$R19*P19</f>
        <v>0</v>
      </c>
      <c r="T19" s="128">
        <f t="shared" ca="1" si="41"/>
        <v>0</v>
      </c>
      <c r="V19" s="75">
        <f ca="1"/>
        <v>3.9206774734109961</v>
      </c>
      <c r="W19" s="75">
        <f ca="1"/>
        <v>0</v>
      </c>
      <c r="X19" s="21">
        <f t="shared" ca="1" si="7"/>
        <v>4283.2550924310954</v>
      </c>
      <c r="Y19" s="128">
        <f t="shared" ref="Y19:Z19" ca="1" si="42">$X19*V19</f>
        <v>16793.261753767529</v>
      </c>
      <c r="Z19" s="128">
        <f t="shared" ca="1" si="42"/>
        <v>0</v>
      </c>
      <c r="AA19" s="128"/>
      <c r="AB19" s="161">
        <f t="shared" ref="AB19:AC19" ca="1" si="43">V19</f>
        <v>3.9206774734109961</v>
      </c>
      <c r="AC19" s="161">
        <f t="shared" ca="1" si="43"/>
        <v>0</v>
      </c>
      <c r="AD19" s="128">
        <f t="shared" ca="1" si="10"/>
        <v>4283.2550924310954</v>
      </c>
      <c r="AE19" s="128">
        <f t="shared" ref="AE19:AF19" ca="1" si="44">$AD19*AB19</f>
        <v>16793.261753767529</v>
      </c>
      <c r="AF19" s="128">
        <f t="shared" ca="1" si="44"/>
        <v>0</v>
      </c>
      <c r="AG19" s="128"/>
    </row>
    <row r="20" spans="1:33" ht="13.2">
      <c r="A20" s="108" t="str">
        <f t="shared" si="0"/>
        <v>MontgomeryAttached Condo Building</v>
      </c>
      <c r="B20" s="20" t="s">
        <v>10</v>
      </c>
      <c r="C20" s="20" t="s">
        <v>373</v>
      </c>
      <c r="D20" s="125">
        <v>0</v>
      </c>
      <c r="E20" s="21">
        <f ca="1">SUMIF('new res bld calcs'!$C$8:$AE$8,"&lt;"&amp;$C$3+1,OFFSET('new res bld calcs'!$C$8:$AE$8,MATCH($B20,'new res bld calcs'!$A$9:$A$11),0))*VLOOKUP(A20,'res bld data'!$A$3:$H$37,7,FALSE)/SUMIF('res bld data'!$B$3:$B$14,$B20,'res bld data'!$G$3:$G$14)</f>
        <v>4903.8989004702325</v>
      </c>
      <c r="F20" s="124">
        <f t="shared" ca="1" si="1"/>
        <v>4903.8989004702325</v>
      </c>
      <c r="H20" s="73" t="s">
        <v>599</v>
      </c>
      <c r="I20" s="119">
        <f>'Rooftop Solar'!D11</f>
        <v>0.12927838270304023</v>
      </c>
      <c r="M20" s="20" t="s">
        <v>5</v>
      </c>
      <c r="N20" s="20" t="s">
        <v>371</v>
      </c>
      <c r="O20" s="20" t="s">
        <v>372</v>
      </c>
      <c r="P20" s="46">
        <f t="shared" ref="P20:Q20" ca="1" si="45">(1-$C$5)*V20</f>
        <v>4.8994658738373298</v>
      </c>
      <c r="Q20" s="46">
        <f t="shared" ca="1" si="45"/>
        <v>0.95341831204924066</v>
      </c>
      <c r="R20" s="21">
        <f t="shared" si="5"/>
        <v>0</v>
      </c>
      <c r="S20" s="128">
        <f t="shared" ref="S20:T20" ca="1" si="46">$R20*P20</f>
        <v>0</v>
      </c>
      <c r="T20" s="128">
        <f t="shared" ca="1" si="46"/>
        <v>0</v>
      </c>
      <c r="V20" s="75">
        <f ca="1"/>
        <v>4.8994658738373298</v>
      </c>
      <c r="W20" s="75">
        <f ca="1"/>
        <v>0.95341831204924066</v>
      </c>
      <c r="X20" s="21">
        <f t="shared" ca="1" si="7"/>
        <v>4283.2550924310954</v>
      </c>
      <c r="Y20" s="128">
        <f t="shared" ref="Y20:Z20" ca="1" si="47">$X20*V20</f>
        <v>20985.662154306108</v>
      </c>
      <c r="Z20" s="128">
        <f t="shared" ca="1" si="47"/>
        <v>4083.7338403019694</v>
      </c>
      <c r="AA20" s="128"/>
      <c r="AB20" s="161">
        <f t="shared" ref="AB20:AC20" ca="1" si="48">V20</f>
        <v>4.8994658738373298</v>
      </c>
      <c r="AC20" s="161">
        <f t="shared" ca="1" si="48"/>
        <v>0.95341831204924066</v>
      </c>
      <c r="AD20" s="128">
        <f t="shared" ca="1" si="10"/>
        <v>4283.2550924310954</v>
      </c>
      <c r="AE20" s="128">
        <f t="shared" ref="AE20:AF20" ca="1" si="49">$AD20*AB20</f>
        <v>20985.662154306108</v>
      </c>
      <c r="AF20" s="128">
        <f t="shared" ca="1" si="49"/>
        <v>4083.7338403019694</v>
      </c>
      <c r="AG20" s="128"/>
    </row>
    <row r="21" spans="1:33" ht="13.2">
      <c r="A21" s="108" t="str">
        <f t="shared" si="0"/>
        <v>MontgomerySingle-Family Housing</v>
      </c>
      <c r="B21" s="20" t="s">
        <v>10</v>
      </c>
      <c r="C21" s="20" t="s">
        <v>370</v>
      </c>
      <c r="D21" s="21">
        <f>IF(C3=2027,10,IF(C3=2028,50,IF(C3=2029,100,IF(C3&gt;=2030,200,0))))</f>
        <v>200</v>
      </c>
      <c r="E21" s="21">
        <f ca="1">SUMIF('new res bld calcs'!$C$8:$AE$8,"&lt;"&amp;$C$3+1,OFFSET('new res bld calcs'!$C$8:$AE$8,MATCH($B21,'new res bld calcs'!$A$9:$A$11),0))*VLOOKUP(A21,'res bld data'!$A$3:$H$37,7,FALSE)/SUMIF('res bld data'!$B$3:$B$14,$B21,'res bld data'!$G$3:$G$14)</f>
        <v>49502.29467244343</v>
      </c>
      <c r="F21" s="124">
        <f t="shared" ca="1" si="1"/>
        <v>49302.29467244343</v>
      </c>
      <c r="H21" s="73" t="s">
        <v>600</v>
      </c>
      <c r="I21" s="75">
        <f ca="1">I17/'res bld calcs'!P4/1000/(8760*I20)</f>
        <v>1.6138613503738788</v>
      </c>
      <c r="M21" s="20" t="s">
        <v>5</v>
      </c>
      <c r="N21" s="20" t="s">
        <v>371</v>
      </c>
      <c r="O21" s="20" t="s">
        <v>374</v>
      </c>
      <c r="P21" s="46">
        <f t="shared" ref="P21:Q21" ca="1" si="50">(1-$C$5)*V21</f>
        <v>6.6316514176372108</v>
      </c>
      <c r="Q21" s="46">
        <f t="shared" ca="1" si="50"/>
        <v>0</v>
      </c>
      <c r="R21" s="21">
        <f t="shared" si="5"/>
        <v>0</v>
      </c>
      <c r="S21" s="128">
        <f t="shared" ref="S21:T21" ca="1" si="51">$R21*P21</f>
        <v>0</v>
      </c>
      <c r="T21" s="128">
        <f t="shared" ca="1" si="51"/>
        <v>0</v>
      </c>
      <c r="V21" s="75">
        <f ca="1"/>
        <v>6.6316514176372108</v>
      </c>
      <c r="W21" s="75">
        <f ca="1"/>
        <v>0</v>
      </c>
      <c r="X21" s="21">
        <f t="shared" ca="1" si="7"/>
        <v>4283.2550924310954</v>
      </c>
      <c r="Y21" s="128">
        <f t="shared" ref="Y21:Z21" ca="1" si="52">$X21*V21</f>
        <v>28405.054705822477</v>
      </c>
      <c r="Z21" s="128">
        <f t="shared" ca="1" si="52"/>
        <v>0</v>
      </c>
      <c r="AA21" s="128"/>
      <c r="AB21" s="161">
        <f t="shared" ref="AB21:AC21" ca="1" si="53">V21</f>
        <v>6.6316514176372108</v>
      </c>
      <c r="AC21" s="161">
        <f t="shared" ca="1" si="53"/>
        <v>0</v>
      </c>
      <c r="AD21" s="128">
        <f t="shared" ca="1" si="10"/>
        <v>4283.2550924310954</v>
      </c>
      <c r="AE21" s="128">
        <f t="shared" ref="AE21:AF21" ca="1" si="54">$AD21*AB21</f>
        <v>28405.054705822477</v>
      </c>
      <c r="AF21" s="128">
        <f t="shared" ca="1" si="54"/>
        <v>0</v>
      </c>
      <c r="AG21" s="128"/>
    </row>
    <row r="22" spans="1:33" ht="13.2">
      <c r="A22" s="108"/>
      <c r="D22" s="21"/>
      <c r="E22" s="21"/>
      <c r="F22" s="108"/>
      <c r="M22" s="20" t="s">
        <v>5</v>
      </c>
      <c r="N22" s="20" t="s">
        <v>371</v>
      </c>
      <c r="O22" s="20" t="s">
        <v>375</v>
      </c>
      <c r="P22" s="46">
        <f t="shared" ref="P22:Q22" ca="1" si="55">(1-$C$5)*V22</f>
        <v>1.9994101790913115</v>
      </c>
      <c r="Q22" s="46">
        <f t="shared" ca="1" si="55"/>
        <v>0</v>
      </c>
      <c r="R22" s="21">
        <f t="shared" si="5"/>
        <v>0</v>
      </c>
      <c r="S22" s="128">
        <f t="shared" ref="S22:T22" ca="1" si="56">$R22*P22</f>
        <v>0</v>
      </c>
      <c r="T22" s="128">
        <f t="shared" ca="1" si="56"/>
        <v>0</v>
      </c>
      <c r="V22" s="75">
        <f ca="1"/>
        <v>1.9994101790913115</v>
      </c>
      <c r="W22" s="75">
        <f ca="1"/>
        <v>0</v>
      </c>
      <c r="X22" s="21">
        <f t="shared" ca="1" si="7"/>
        <v>4283.2550924310954</v>
      </c>
      <c r="Y22" s="128">
        <f t="shared" ref="Y22:Z22" ca="1" si="57">$X22*V22</f>
        <v>8563.9838314514291</v>
      </c>
      <c r="Z22" s="128">
        <f t="shared" ca="1" si="57"/>
        <v>0</v>
      </c>
      <c r="AA22" s="128"/>
      <c r="AB22" s="161">
        <f t="shared" ref="AB22:AC22" ca="1" si="58">V22</f>
        <v>1.9994101790913115</v>
      </c>
      <c r="AC22" s="161">
        <f t="shared" ca="1" si="58"/>
        <v>0</v>
      </c>
      <c r="AD22" s="128">
        <f t="shared" ca="1" si="10"/>
        <v>4283.2550924310954</v>
      </c>
      <c r="AE22" s="128">
        <f t="shared" ref="AE22:AF22" ca="1" si="59">$AD22*AB22</f>
        <v>8563.9838314514291</v>
      </c>
      <c r="AF22" s="128">
        <f t="shared" ca="1" si="59"/>
        <v>0</v>
      </c>
      <c r="AG22" s="128"/>
    </row>
    <row r="23" spans="1:33" ht="13.2">
      <c r="A23" s="108"/>
      <c r="D23" s="21"/>
      <c r="E23" s="21"/>
      <c r="F23" s="108"/>
      <c r="M23" s="20" t="s">
        <v>5</v>
      </c>
      <c r="N23" s="20" t="s">
        <v>371</v>
      </c>
      <c r="O23" s="20" t="s">
        <v>376</v>
      </c>
      <c r="P23" s="46">
        <f t="shared" ref="P23:Q23" ca="1" si="60">(1-$C$5)*V23</f>
        <v>3.4985708743875059</v>
      </c>
      <c r="Q23" s="46">
        <f t="shared" ca="1" si="60"/>
        <v>0</v>
      </c>
      <c r="R23" s="21">
        <f t="shared" si="5"/>
        <v>0</v>
      </c>
      <c r="S23" s="128">
        <f t="shared" ref="S23:T23" ca="1" si="61">$R23*P23</f>
        <v>0</v>
      </c>
      <c r="T23" s="128">
        <f t="shared" ca="1" si="61"/>
        <v>0</v>
      </c>
      <c r="V23" s="75">
        <f ca="1"/>
        <v>3.4985708743875059</v>
      </c>
      <c r="W23" s="75">
        <f ca="1"/>
        <v>0</v>
      </c>
      <c r="X23" s="21">
        <f t="shared" ca="1" si="7"/>
        <v>4283.2550924310954</v>
      </c>
      <c r="Y23" s="128">
        <f t="shared" ref="Y23:Z23" ca="1" si="62">$X23*V23</f>
        <v>14985.271513951395</v>
      </c>
      <c r="Z23" s="128">
        <f t="shared" ca="1" si="62"/>
        <v>0</v>
      </c>
      <c r="AA23" s="128"/>
      <c r="AB23" s="161">
        <f t="shared" ref="AB23:AC23" ca="1" si="63">V23</f>
        <v>3.4985708743875059</v>
      </c>
      <c r="AC23" s="161">
        <f t="shared" ca="1" si="63"/>
        <v>0</v>
      </c>
      <c r="AD23" s="128">
        <f t="shared" ca="1" si="10"/>
        <v>4283.2550924310954</v>
      </c>
      <c r="AE23" s="128">
        <f t="shared" ref="AE23:AF23" ca="1" si="64">$AD23*AB23</f>
        <v>14985.271513951395</v>
      </c>
      <c r="AF23" s="128">
        <f t="shared" ca="1" si="64"/>
        <v>0</v>
      </c>
      <c r="AG23" s="128"/>
    </row>
    <row r="24" spans="1:33" ht="13.2">
      <c r="A24" s="108"/>
      <c r="D24" s="21"/>
      <c r="E24" s="21"/>
      <c r="F24" s="108"/>
      <c r="H24" s="136" t="s">
        <v>567</v>
      </c>
      <c r="I24" s="154">
        <f t="shared" ref="I24:K24" ca="1" si="65">I12-I18</f>
        <v>447.06818015041063</v>
      </c>
      <c r="J24" s="154">
        <f t="shared" ca="1" si="65"/>
        <v>523.63705634622602</v>
      </c>
      <c r="K24" s="154">
        <f t="shared" ca="1" si="65"/>
        <v>970.70523649663664</v>
      </c>
      <c r="M24" s="20" t="s">
        <v>5</v>
      </c>
      <c r="N24" s="20" t="s">
        <v>371</v>
      </c>
      <c r="O24" s="20" t="s">
        <v>377</v>
      </c>
      <c r="P24" s="46">
        <f ca="1">IF($C$6="Yes",((1-$C$4)*W24/$F$4)+V24,(1-$C$4)*V24)</f>
        <v>19.32990446563381</v>
      </c>
      <c r="Q24" s="46">
        <f>IF($C$6="Yes",0,(1-$C$4)*W24)</f>
        <v>0</v>
      </c>
      <c r="R24" s="21">
        <f t="shared" si="5"/>
        <v>0</v>
      </c>
      <c r="S24" s="128">
        <f t="shared" ref="S24:T24" ca="1" si="66">$R24*P24</f>
        <v>0</v>
      </c>
      <c r="T24" s="128">
        <f t="shared" si="66"/>
        <v>0</v>
      </c>
      <c r="V24" s="75">
        <f ca="1"/>
        <v>14.571194585949526</v>
      </c>
      <c r="W24" s="75">
        <f ca="1"/>
        <v>28.552259278105694</v>
      </c>
      <c r="X24" s="21">
        <f t="shared" ca="1" si="7"/>
        <v>4283.2550924310954</v>
      </c>
      <c r="Y24" s="128">
        <f t="shared" ref="Y24:Z24" ca="1" si="67">$X24*V24</f>
        <v>62412.143413072714</v>
      </c>
      <c r="Z24" s="128">
        <f t="shared" ca="1" si="67"/>
        <v>122296.60995335921</v>
      </c>
      <c r="AA24" s="128"/>
      <c r="AB24" s="161">
        <f t="shared" ref="AB24:AC24" ca="1" si="68">V24</f>
        <v>14.571194585949526</v>
      </c>
      <c r="AC24" s="161">
        <f t="shared" ca="1" si="68"/>
        <v>28.552259278105694</v>
      </c>
      <c r="AD24" s="128">
        <f t="shared" ca="1" si="10"/>
        <v>4283.2550924310954</v>
      </c>
      <c r="AE24" s="128">
        <f t="shared" ref="AE24:AF24" ca="1" si="69">$AD24*AB24</f>
        <v>62412.143413072714</v>
      </c>
      <c r="AF24" s="128">
        <f t="shared" ca="1" si="69"/>
        <v>122296.60995335921</v>
      </c>
      <c r="AG24" s="128"/>
    </row>
    <row r="25" spans="1:33" ht="13.2">
      <c r="A25" s="108"/>
      <c r="D25" s="21"/>
      <c r="E25" s="21"/>
      <c r="F25" s="108"/>
      <c r="J25" s="45" t="s">
        <v>568</v>
      </c>
      <c r="K25" s="155">
        <f ca="1">(K12-K18)/K12</f>
        <v>1.4489241943848193E-3</v>
      </c>
      <c r="M25" s="20" t="s">
        <v>5</v>
      </c>
      <c r="N25" s="20" t="s">
        <v>371</v>
      </c>
      <c r="O25" s="20" t="s">
        <v>378</v>
      </c>
      <c r="P25" s="46">
        <f ca="1">IF($C$7="Yes",((1-$C$5)*W25/$F$4)+V25,(1-$C$5)*V25)</f>
        <v>8.5439777283314768</v>
      </c>
      <c r="Q25" s="46">
        <f>IF($C$7="Yes",0,(1-$C$5)*W25)</f>
        <v>0</v>
      </c>
      <c r="R25" s="21">
        <f t="shared" si="5"/>
        <v>0</v>
      </c>
      <c r="S25" s="128">
        <f t="shared" ref="S25:T25" ca="1" si="70">$R25*P25</f>
        <v>0</v>
      </c>
      <c r="T25" s="128">
        <f t="shared" si="70"/>
        <v>0</v>
      </c>
      <c r="V25" s="75">
        <f ca="1"/>
        <v>4.2136146175200286</v>
      </c>
      <c r="W25" s="75">
        <f ca="1"/>
        <v>12.991089332434342</v>
      </c>
      <c r="X25" s="21">
        <f t="shared" ca="1" si="7"/>
        <v>4283.2550924310954</v>
      </c>
      <c r="Y25" s="128">
        <f t="shared" ref="Y25:Z25" ca="1" si="71">$X25*V25</f>
        <v>18047.986268034765</v>
      </c>
      <c r="Z25" s="128">
        <f t="shared" ca="1" si="71"/>
        <v>55644.149539376675</v>
      </c>
      <c r="AA25" s="128"/>
      <c r="AB25" s="161">
        <f t="shared" ref="AB25:AC25" ca="1" si="72">V25</f>
        <v>4.2136146175200286</v>
      </c>
      <c r="AC25" s="161">
        <f t="shared" ca="1" si="72"/>
        <v>12.991089332434342</v>
      </c>
      <c r="AD25" s="128">
        <f t="shared" ca="1" si="10"/>
        <v>4283.2550924310954</v>
      </c>
      <c r="AE25" s="128">
        <f t="shared" ref="AE25:AF25" ca="1" si="73">$AD25*AB25</f>
        <v>18047.986268034765</v>
      </c>
      <c r="AF25" s="128">
        <f t="shared" ca="1" si="73"/>
        <v>55644.149539376675</v>
      </c>
      <c r="AG25" s="128"/>
    </row>
    <row r="26" spans="1:33" ht="13.2">
      <c r="A26" s="108"/>
      <c r="D26" s="21"/>
      <c r="E26" s="21"/>
      <c r="F26" s="108"/>
      <c r="H26" s="45" t="s">
        <v>569</v>
      </c>
      <c r="I26" s="154"/>
      <c r="M26" s="20" t="s">
        <v>5</v>
      </c>
      <c r="N26" s="20" t="s">
        <v>373</v>
      </c>
      <c r="O26" s="20" t="s">
        <v>369</v>
      </c>
      <c r="P26" s="46">
        <f t="shared" ref="P26:Q26" ca="1" si="74">(1-$C$5)*V26</f>
        <v>7.358208332526317</v>
      </c>
      <c r="Q26" s="46">
        <f t="shared" ca="1" si="74"/>
        <v>0</v>
      </c>
      <c r="R26" s="21">
        <f t="shared" si="5"/>
        <v>0</v>
      </c>
      <c r="S26" s="128">
        <f t="shared" ref="S26:T26" ca="1" si="75">$R26*P26</f>
        <v>0</v>
      </c>
      <c r="T26" s="128">
        <f t="shared" ca="1" si="75"/>
        <v>0</v>
      </c>
      <c r="V26" s="75">
        <f ca="1"/>
        <v>7.358208332526317</v>
      </c>
      <c r="W26" s="75">
        <f ca="1"/>
        <v>0</v>
      </c>
      <c r="X26" s="21">
        <f t="shared" ca="1" si="7"/>
        <v>1119.3650719359066</v>
      </c>
      <c r="Y26" s="128">
        <f t="shared" ref="Y26:Z26" ca="1" si="76">$X26*V26</f>
        <v>8236.521399457708</v>
      </c>
      <c r="Z26" s="128">
        <f t="shared" ca="1" si="76"/>
        <v>0</v>
      </c>
      <c r="AA26" s="128"/>
      <c r="AB26" s="161">
        <f t="shared" ref="AB26:AC26" ca="1" si="77">V26</f>
        <v>7.358208332526317</v>
      </c>
      <c r="AC26" s="161">
        <f t="shared" ca="1" si="77"/>
        <v>0</v>
      </c>
      <c r="AD26" s="128">
        <f t="shared" ca="1" si="10"/>
        <v>1119.3650719359066</v>
      </c>
      <c r="AE26" s="128">
        <f t="shared" ref="AE26:AF26" ca="1" si="78">$AD26*AB26</f>
        <v>8236.521399457708</v>
      </c>
      <c r="AF26" s="128">
        <f t="shared" ca="1" si="78"/>
        <v>0</v>
      </c>
      <c r="AG26" s="128"/>
    </row>
    <row r="27" spans="1:33" ht="13.2">
      <c r="A27" s="108"/>
      <c r="D27" s="21"/>
      <c r="E27" s="21"/>
      <c r="F27" s="108"/>
      <c r="H27" s="20" t="str">
        <f ca="1">IFERROR(__xludf.DUMMYFUNCTION("unique(B10:B21)"),"Greene")</f>
        <v>Greene</v>
      </c>
      <c r="I27" s="21">
        <f t="shared" ref="I27:I29" ca="1" si="79">SUMIF($B$10:$B$32,"="&amp;H27,$D$10:$D$32)</f>
        <v>0</v>
      </c>
      <c r="M27" s="20" t="s">
        <v>5</v>
      </c>
      <c r="N27" s="20" t="s">
        <v>373</v>
      </c>
      <c r="O27" s="20" t="s">
        <v>372</v>
      </c>
      <c r="P27" s="46">
        <f t="shared" ref="P27:Q27" ca="1" si="80">(1-$C$5)*V27</f>
        <v>4.7540487622931629</v>
      </c>
      <c r="Q27" s="46">
        <f t="shared" ca="1" si="80"/>
        <v>1.3950210605054358</v>
      </c>
      <c r="R27" s="21">
        <f t="shared" si="5"/>
        <v>0</v>
      </c>
      <c r="S27" s="128">
        <f t="shared" ref="S27:T27" ca="1" si="81">$R27*P27</f>
        <v>0</v>
      </c>
      <c r="T27" s="128">
        <f t="shared" ca="1" si="81"/>
        <v>0</v>
      </c>
      <c r="V27" s="75">
        <f ca="1"/>
        <v>4.7540487622931629</v>
      </c>
      <c r="W27" s="75">
        <f ca="1"/>
        <v>1.3950210605054358</v>
      </c>
      <c r="X27" s="21">
        <f t="shared" ca="1" si="7"/>
        <v>1119.3650719359066</v>
      </c>
      <c r="Y27" s="128">
        <f t="shared" ref="Y27:Z27" ca="1" si="82">$X27*V27</f>
        <v>5321.5161347910944</v>
      </c>
      <c r="Z27" s="128">
        <f t="shared" ca="1" si="82"/>
        <v>1561.5378497447718</v>
      </c>
      <c r="AA27" s="128"/>
      <c r="AB27" s="161">
        <f t="shared" ref="AB27:AC27" ca="1" si="83">V27</f>
        <v>4.7540487622931629</v>
      </c>
      <c r="AC27" s="161">
        <f t="shared" ca="1" si="83"/>
        <v>1.3950210605054358</v>
      </c>
      <c r="AD27" s="128">
        <f t="shared" ca="1" si="10"/>
        <v>1119.3650719359066</v>
      </c>
      <c r="AE27" s="128">
        <f t="shared" ref="AE27:AF27" ca="1" si="84">$AD27*AB27</f>
        <v>5321.5161347910944</v>
      </c>
      <c r="AF27" s="128">
        <f t="shared" ca="1" si="84"/>
        <v>1561.5378497447718</v>
      </c>
      <c r="AG27" s="128"/>
    </row>
    <row r="28" spans="1:33" ht="13.2">
      <c r="A28" s="108"/>
      <c r="D28" s="21"/>
      <c r="E28" s="21"/>
      <c r="F28" s="108"/>
      <c r="H28" s="20" t="str">
        <f ca="1">IFERROR(__xludf.DUMMYFUNCTION("""COMPUTED_VALUE"""),"Miami")</f>
        <v>Miami</v>
      </c>
      <c r="I28" s="21">
        <f t="shared" ca="1" si="79"/>
        <v>0</v>
      </c>
      <c r="M28" s="20" t="s">
        <v>5</v>
      </c>
      <c r="N28" s="20" t="s">
        <v>373</v>
      </c>
      <c r="O28" s="20" t="s">
        <v>374</v>
      </c>
      <c r="P28" s="46">
        <f t="shared" ref="P28:Q28" ca="1" si="85">(1-$C$5)*V28</f>
        <v>8.036491096871675</v>
      </c>
      <c r="Q28" s="46">
        <f t="shared" ca="1" si="85"/>
        <v>0</v>
      </c>
      <c r="R28" s="21">
        <f t="shared" si="5"/>
        <v>0</v>
      </c>
      <c r="S28" s="128">
        <f t="shared" ref="S28:T28" ca="1" si="86">$R28*P28</f>
        <v>0</v>
      </c>
      <c r="T28" s="128">
        <f t="shared" ca="1" si="86"/>
        <v>0</v>
      </c>
      <c r="V28" s="75">
        <f ca="1"/>
        <v>8.036491096871675</v>
      </c>
      <c r="W28" s="75">
        <f ca="1"/>
        <v>0</v>
      </c>
      <c r="X28" s="21">
        <f t="shared" ca="1" si="7"/>
        <v>1119.3650719359066</v>
      </c>
      <c r="Y28" s="128">
        <f t="shared" ref="Y28:Z28" ca="1" si="87">$X28*V28</f>
        <v>8995.7674347620359</v>
      </c>
      <c r="Z28" s="128">
        <f t="shared" ca="1" si="87"/>
        <v>0</v>
      </c>
      <c r="AA28" s="128"/>
      <c r="AB28" s="161">
        <f t="shared" ref="AB28:AC28" ca="1" si="88">V28</f>
        <v>8.036491096871675</v>
      </c>
      <c r="AC28" s="161">
        <f t="shared" ca="1" si="88"/>
        <v>0</v>
      </c>
      <c r="AD28" s="128">
        <f t="shared" ca="1" si="10"/>
        <v>1119.3650719359066</v>
      </c>
      <c r="AE28" s="128">
        <f t="shared" ref="AE28:AF28" ca="1" si="89">$AD28*AB28</f>
        <v>8995.7674347620359</v>
      </c>
      <c r="AF28" s="128">
        <f t="shared" ca="1" si="89"/>
        <v>0</v>
      </c>
      <c r="AG28" s="128"/>
    </row>
    <row r="29" spans="1:33" ht="13.2">
      <c r="A29" s="108"/>
      <c r="D29" s="21"/>
      <c r="E29" s="21"/>
      <c r="F29" s="108"/>
      <c r="H29" s="20" t="str">
        <f ca="1">IFERROR(__xludf.DUMMYFUNCTION("""COMPUTED_VALUE"""),"Montgomery")</f>
        <v>Montgomery</v>
      </c>
      <c r="I29" s="21">
        <f t="shared" ca="1" si="79"/>
        <v>200</v>
      </c>
      <c r="M29" s="20" t="s">
        <v>5</v>
      </c>
      <c r="N29" s="20" t="s">
        <v>373</v>
      </c>
      <c r="O29" s="20" t="s">
        <v>375</v>
      </c>
      <c r="P29" s="46">
        <f t="shared" ref="P29:Q29" ca="1" si="90">(1-$C$5)*V29</f>
        <v>1.7903008885811684</v>
      </c>
      <c r="Q29" s="46">
        <f t="shared" ca="1" si="90"/>
        <v>0</v>
      </c>
      <c r="R29" s="21">
        <f t="shared" si="5"/>
        <v>0</v>
      </c>
      <c r="S29" s="128">
        <f t="shared" ref="S29:T29" ca="1" si="91">$R29*P29</f>
        <v>0</v>
      </c>
      <c r="T29" s="128">
        <f t="shared" ca="1" si="91"/>
        <v>0</v>
      </c>
      <c r="V29" s="75">
        <f ca="1"/>
        <v>1.7903008885811684</v>
      </c>
      <c r="W29" s="75">
        <f ca="1"/>
        <v>0</v>
      </c>
      <c r="X29" s="21">
        <f t="shared" ca="1" si="7"/>
        <v>1119.3650719359066</v>
      </c>
      <c r="Y29" s="128">
        <f t="shared" ref="Y29:Z29" ca="1" si="92">$X29*V29</f>
        <v>2004.0002829335772</v>
      </c>
      <c r="Z29" s="128">
        <f t="shared" ca="1" si="92"/>
        <v>0</v>
      </c>
      <c r="AA29" s="128"/>
      <c r="AB29" s="161">
        <f t="shared" ref="AB29:AC29" ca="1" si="93">V29</f>
        <v>1.7903008885811684</v>
      </c>
      <c r="AC29" s="161">
        <f t="shared" ca="1" si="93"/>
        <v>0</v>
      </c>
      <c r="AD29" s="128">
        <f t="shared" ca="1" si="10"/>
        <v>1119.3650719359066</v>
      </c>
      <c r="AE29" s="128">
        <f t="shared" ref="AE29:AF29" ca="1" si="94">$AD29*AB29</f>
        <v>2004.0002829335772</v>
      </c>
      <c r="AF29" s="128">
        <f t="shared" ca="1" si="94"/>
        <v>0</v>
      </c>
      <c r="AG29" s="128"/>
    </row>
    <row r="30" spans="1:33" ht="13.2">
      <c r="A30" s="108"/>
      <c r="D30" s="21"/>
      <c r="E30" s="21"/>
      <c r="F30" s="108"/>
      <c r="H30" s="20" t="s">
        <v>32</v>
      </c>
      <c r="I30" s="21">
        <f ca="1">SUM(I27:I29)</f>
        <v>200</v>
      </c>
      <c r="M30" s="20" t="s">
        <v>5</v>
      </c>
      <c r="N30" s="20" t="s">
        <v>373</v>
      </c>
      <c r="O30" s="20" t="s">
        <v>376</v>
      </c>
      <c r="P30" s="46">
        <f t="shared" ref="P30:Q30" ca="1" si="95">(1-$C$5)*V30</f>
        <v>3.7135739545801472</v>
      </c>
      <c r="Q30" s="46">
        <f t="shared" ca="1" si="95"/>
        <v>0</v>
      </c>
      <c r="R30" s="21">
        <f t="shared" si="5"/>
        <v>0</v>
      </c>
      <c r="S30" s="128">
        <f t="shared" ref="S30:T30" ca="1" si="96">$R30*P30</f>
        <v>0</v>
      </c>
      <c r="T30" s="128">
        <f t="shared" ca="1" si="96"/>
        <v>0</v>
      </c>
      <c r="V30" s="75">
        <f ca="1"/>
        <v>3.7135739545801472</v>
      </c>
      <c r="W30" s="75">
        <f ca="1"/>
        <v>0</v>
      </c>
      <c r="X30" s="21">
        <f t="shared" ca="1" si="7"/>
        <v>1119.3650719359066</v>
      </c>
      <c r="Y30" s="128">
        <f t="shared" ref="Y30:Z30" ca="1" si="97">$X30*V30</f>
        <v>4156.8449768079154</v>
      </c>
      <c r="Z30" s="128">
        <f t="shared" ca="1" si="97"/>
        <v>0</v>
      </c>
      <c r="AA30" s="128"/>
      <c r="AB30" s="161">
        <f t="shared" ref="AB30:AC30" ca="1" si="98">V30</f>
        <v>3.7135739545801472</v>
      </c>
      <c r="AC30" s="161">
        <f t="shared" ca="1" si="98"/>
        <v>0</v>
      </c>
      <c r="AD30" s="128">
        <f t="shared" ca="1" si="10"/>
        <v>1119.3650719359066</v>
      </c>
      <c r="AE30" s="128">
        <f t="shared" ref="AE30:AF30" ca="1" si="99">$AD30*AB30</f>
        <v>4156.8449768079154</v>
      </c>
      <c r="AF30" s="128">
        <f t="shared" ca="1" si="99"/>
        <v>0</v>
      </c>
      <c r="AG30" s="128"/>
    </row>
    <row r="31" spans="1:33" ht="13.2">
      <c r="A31" s="108"/>
      <c r="D31" s="21"/>
      <c r="E31" s="21"/>
      <c r="F31" s="108"/>
      <c r="I31" s="154"/>
      <c r="M31" s="20" t="s">
        <v>5</v>
      </c>
      <c r="N31" s="20" t="s">
        <v>373</v>
      </c>
      <c r="O31" s="20" t="s">
        <v>377</v>
      </c>
      <c r="P31" s="46">
        <f ca="1">IF($C$6="Yes",((1-$C$4)*W31/$F$4)+V31,(1-$C$4)*V31)</f>
        <v>17.189049396554559</v>
      </c>
      <c r="Q31" s="46">
        <f>IF($C$6="Yes",0,(1-$C$4)*W31)</f>
        <v>0</v>
      </c>
      <c r="R31" s="21">
        <f t="shared" si="5"/>
        <v>0</v>
      </c>
      <c r="S31" s="128">
        <f t="shared" ref="S31:T31" ca="1" si="100">$R31*P31</f>
        <v>0</v>
      </c>
      <c r="T31" s="128">
        <f t="shared" si="100"/>
        <v>0</v>
      </c>
      <c r="V31" s="75">
        <f ca="1"/>
        <v>12.516349161540184</v>
      </c>
      <c r="W31" s="75">
        <f ca="1"/>
        <v>28.03620141008626</v>
      </c>
      <c r="X31" s="21">
        <f t="shared" ca="1" si="7"/>
        <v>1119.3650719359066</v>
      </c>
      <c r="Y31" s="128">
        <f t="shared" ref="Y31:Z31" ca="1" si="101">$X31*V31</f>
        <v>14010.364079582352</v>
      </c>
      <c r="Z31" s="128">
        <f t="shared" ca="1" si="101"/>
        <v>31382.744608210774</v>
      </c>
      <c r="AA31" s="128"/>
      <c r="AB31" s="161">
        <f t="shared" ref="AB31:AC31" ca="1" si="102">V31</f>
        <v>12.516349161540184</v>
      </c>
      <c r="AC31" s="161">
        <f t="shared" ca="1" si="102"/>
        <v>28.03620141008626</v>
      </c>
      <c r="AD31" s="128">
        <f t="shared" ca="1" si="10"/>
        <v>1119.3650719359066</v>
      </c>
      <c r="AE31" s="128">
        <f t="shared" ref="AE31:AF31" ca="1" si="103">$AD31*AB31</f>
        <v>14010.364079582352</v>
      </c>
      <c r="AF31" s="128">
        <f t="shared" ca="1" si="103"/>
        <v>31382.744608210774</v>
      </c>
      <c r="AG31" s="128"/>
    </row>
    <row r="32" spans="1:33" ht="13.2">
      <c r="B32" s="163">
        <v>2026</v>
      </c>
      <c r="C32" s="163">
        <v>2027</v>
      </c>
      <c r="D32" s="163">
        <v>2028</v>
      </c>
      <c r="E32" s="164">
        <v>2029</v>
      </c>
      <c r="F32" s="163">
        <v>2030</v>
      </c>
      <c r="G32" s="163">
        <v>2050</v>
      </c>
      <c r="I32" s="154"/>
      <c r="M32" s="20" t="s">
        <v>5</v>
      </c>
      <c r="N32" s="20" t="s">
        <v>373</v>
      </c>
      <c r="O32" s="20" t="s">
        <v>378</v>
      </c>
      <c r="P32" s="46">
        <f ca="1">IF($C$7="Yes",((1-$C$5)*W32/$F$4)+V32,(1-$C$5)*V32)</f>
        <v>5.9207943094404465</v>
      </c>
      <c r="Q32" s="46">
        <f>IF($C$7="Yes",0,(1-$C$5)*W32)</f>
        <v>0</v>
      </c>
      <c r="R32" s="21">
        <f t="shared" si="5"/>
        <v>0</v>
      </c>
      <c r="S32" s="128">
        <f t="shared" ref="S32:T32" ca="1" si="104">$R32*P32</f>
        <v>0</v>
      </c>
      <c r="T32" s="128">
        <f t="shared" si="104"/>
        <v>0</v>
      </c>
      <c r="V32" s="75">
        <f ca="1"/>
        <v>1.5656128254412518</v>
      </c>
      <c r="W32" s="75">
        <f ca="1"/>
        <v>13.065544451997583</v>
      </c>
      <c r="X32" s="21">
        <f t="shared" ca="1" si="7"/>
        <v>1119.3650719359066</v>
      </c>
      <c r="Y32" s="128">
        <f t="shared" ref="Y32:Z32" ca="1" si="105">$X32*V32</f>
        <v>1752.4923129738247</v>
      </c>
      <c r="Z32" s="128">
        <f t="shared" ca="1" si="105"/>
        <v>14625.11410539206</v>
      </c>
      <c r="AA32" s="128"/>
      <c r="AB32" s="161">
        <f t="shared" ref="AB32:AC32" ca="1" si="106">V32</f>
        <v>1.5656128254412518</v>
      </c>
      <c r="AC32" s="161">
        <f t="shared" ca="1" si="106"/>
        <v>13.065544451997583</v>
      </c>
      <c r="AD32" s="128">
        <f t="shared" ca="1" si="10"/>
        <v>1119.3650719359066</v>
      </c>
      <c r="AE32" s="128">
        <f t="shared" ref="AE32:AF32" ca="1" si="107">$AD32*AB32</f>
        <v>1752.4923129738247</v>
      </c>
      <c r="AF32" s="128">
        <f t="shared" ca="1" si="107"/>
        <v>14625.11410539206</v>
      </c>
      <c r="AG32" s="128"/>
    </row>
    <row r="33" spans="1:33" ht="13.2">
      <c r="A33" s="45" t="s">
        <v>569</v>
      </c>
      <c r="B33" s="21">
        <v>0</v>
      </c>
      <c r="C33" s="21">
        <v>10</v>
      </c>
      <c r="D33" s="21">
        <v>50</v>
      </c>
      <c r="E33" s="21">
        <v>100</v>
      </c>
      <c r="F33" s="21">
        <v>200</v>
      </c>
      <c r="G33" s="21">
        <v>200</v>
      </c>
      <c r="I33" s="154"/>
      <c r="M33" s="20" t="s">
        <v>5</v>
      </c>
      <c r="N33" s="20" t="s">
        <v>370</v>
      </c>
      <c r="O33" s="20" t="s">
        <v>369</v>
      </c>
      <c r="P33" s="46">
        <f t="shared" ref="P33:Q33" ca="1" si="108">(1-$C$5)*V33</f>
        <v>4.1932753810523495</v>
      </c>
      <c r="Q33" s="46">
        <f t="shared" ca="1" si="108"/>
        <v>1.7522139124893987E-2</v>
      </c>
      <c r="R33" s="21">
        <f t="shared" si="5"/>
        <v>0</v>
      </c>
      <c r="S33" s="128">
        <f t="shared" ref="S33:T33" ca="1" si="109">$R33*P33</f>
        <v>0</v>
      </c>
      <c r="T33" s="128">
        <f t="shared" ca="1" si="109"/>
        <v>0</v>
      </c>
      <c r="V33" s="75">
        <f ca="1"/>
        <v>4.1932753810523495</v>
      </c>
      <c r="W33" s="75">
        <f ca="1"/>
        <v>1.7522139124893987E-2</v>
      </c>
      <c r="X33" s="21">
        <f t="shared" ca="1" si="7"/>
        <v>14966.572877022703</v>
      </c>
      <c r="Y33" s="128">
        <f t="shared" ref="Y33:Z33" ca="1" si="110">$X33*V33</f>
        <v>62758.961583945136</v>
      </c>
      <c r="Z33" s="128">
        <f t="shared" ca="1" si="110"/>
        <v>262.24637217405666</v>
      </c>
      <c r="AA33" s="128"/>
      <c r="AB33" s="161">
        <f t="shared" ref="AB33:AC33" ca="1" si="111">V33</f>
        <v>4.1932753810523495</v>
      </c>
      <c r="AC33" s="161">
        <f t="shared" ca="1" si="111"/>
        <v>1.7522139124893987E-2</v>
      </c>
      <c r="AD33" s="128">
        <f t="shared" ca="1" si="10"/>
        <v>14966.572877022703</v>
      </c>
      <c r="AE33" s="128">
        <f t="shared" ref="AE33:AF33" ca="1" si="112">$AD33*AB33</f>
        <v>62758.961583945136</v>
      </c>
      <c r="AF33" s="128">
        <f t="shared" ca="1" si="112"/>
        <v>262.24637217405666</v>
      </c>
      <c r="AG33" s="128"/>
    </row>
    <row r="34" spans="1:33" ht="13.2">
      <c r="A34" s="45" t="s">
        <v>600</v>
      </c>
      <c r="B34" s="75">
        <v>0</v>
      </c>
      <c r="C34" s="75">
        <v>8.0693067001282301E-2</v>
      </c>
      <c r="D34" s="75">
        <v>0.40346533500641163</v>
      </c>
      <c r="E34" s="75">
        <v>0.80693067001282326</v>
      </c>
      <c r="F34" s="75">
        <v>1.6138613400256465</v>
      </c>
      <c r="G34" s="75">
        <v>1.6138613400256465</v>
      </c>
      <c r="M34" s="20" t="s">
        <v>5</v>
      </c>
      <c r="N34" s="20" t="s">
        <v>370</v>
      </c>
      <c r="O34" s="20" t="s">
        <v>372</v>
      </c>
      <c r="P34" s="46">
        <f t="shared" ref="P34:Q34" ca="1" si="113">(1-$C$5)*V34</f>
        <v>5.7476607316917425</v>
      </c>
      <c r="Q34" s="46">
        <f t="shared" ca="1" si="113"/>
        <v>0.93886088325684824</v>
      </c>
      <c r="R34" s="21">
        <f t="shared" si="5"/>
        <v>0</v>
      </c>
      <c r="S34" s="128">
        <f t="shared" ref="S34:T34" ca="1" si="114">$R34*P34</f>
        <v>0</v>
      </c>
      <c r="T34" s="128">
        <f t="shared" ca="1" si="114"/>
        <v>0</v>
      </c>
      <c r="V34" s="75">
        <f ca="1"/>
        <v>5.7476607316917425</v>
      </c>
      <c r="W34" s="75">
        <f ca="1"/>
        <v>0.93886088325684824</v>
      </c>
      <c r="X34" s="21">
        <f t="shared" ca="1" si="7"/>
        <v>14966.572877022703</v>
      </c>
      <c r="Y34" s="128">
        <f t="shared" ref="Y34:Z34" ca="1" si="115">$X34*V34</f>
        <v>86022.783213266099</v>
      </c>
      <c r="Z34" s="128">
        <f t="shared" ca="1" si="115"/>
        <v>14051.529830649524</v>
      </c>
      <c r="AA34" s="128"/>
      <c r="AB34" s="161">
        <f t="shared" ref="AB34:AC34" ca="1" si="116">V34</f>
        <v>5.7476607316917425</v>
      </c>
      <c r="AC34" s="161">
        <f t="shared" ca="1" si="116"/>
        <v>0.93886088325684824</v>
      </c>
      <c r="AD34" s="128">
        <f t="shared" ca="1" si="10"/>
        <v>14966.572877022703</v>
      </c>
      <c r="AE34" s="128">
        <f t="shared" ref="AE34:AF34" ca="1" si="117">$AD34*AB34</f>
        <v>86022.783213266099</v>
      </c>
      <c r="AF34" s="128">
        <f t="shared" ca="1" si="117"/>
        <v>14051.529830649524</v>
      </c>
      <c r="AG34" s="128"/>
    </row>
    <row r="35" spans="1:33" ht="13.2">
      <c r="M35" s="20" t="s">
        <v>5</v>
      </c>
      <c r="N35" s="20" t="s">
        <v>370</v>
      </c>
      <c r="O35" s="20" t="s">
        <v>374</v>
      </c>
      <c r="P35" s="46">
        <f t="shared" ref="P35:Q35" ca="1" si="118">(1-$C$5)*V35</f>
        <v>6.7632442867164988</v>
      </c>
      <c r="Q35" s="46">
        <f t="shared" ca="1" si="118"/>
        <v>0</v>
      </c>
      <c r="R35" s="21">
        <f t="shared" si="5"/>
        <v>0</v>
      </c>
      <c r="S35" s="128">
        <f t="shared" ref="S35:T35" ca="1" si="119">$R35*P35</f>
        <v>0</v>
      </c>
      <c r="T35" s="128">
        <f t="shared" ca="1" si="119"/>
        <v>0</v>
      </c>
      <c r="V35" s="75">
        <f ca="1"/>
        <v>6.7632442867164988</v>
      </c>
      <c r="W35" s="75">
        <f ca="1"/>
        <v>0</v>
      </c>
      <c r="X35" s="21">
        <f t="shared" ca="1" si="7"/>
        <v>14966.572877022703</v>
      </c>
      <c r="Y35" s="128">
        <f t="shared" ref="Y35:Z35" ca="1" si="120">$X35*V35</f>
        <v>101222.58850224991</v>
      </c>
      <c r="Z35" s="128">
        <f t="shared" ca="1" si="120"/>
        <v>0</v>
      </c>
      <c r="AA35" s="128"/>
      <c r="AB35" s="161">
        <f t="shared" ref="AB35:AC35" ca="1" si="121">V35</f>
        <v>6.7632442867164988</v>
      </c>
      <c r="AC35" s="161">
        <f t="shared" ca="1" si="121"/>
        <v>0</v>
      </c>
      <c r="AD35" s="128">
        <f t="shared" ca="1" si="10"/>
        <v>14966.572877022703</v>
      </c>
      <c r="AE35" s="128">
        <f t="shared" ref="AE35:AF35" ca="1" si="122">$AD35*AB35</f>
        <v>101222.58850224991</v>
      </c>
      <c r="AF35" s="128">
        <f t="shared" ca="1" si="122"/>
        <v>0</v>
      </c>
      <c r="AG35" s="128"/>
    </row>
    <row r="36" spans="1:33" ht="13.2">
      <c r="H36" s="2"/>
      <c r="M36" s="20" t="s">
        <v>5</v>
      </c>
      <c r="N36" s="20" t="s">
        <v>370</v>
      </c>
      <c r="O36" s="20" t="s">
        <v>375</v>
      </c>
      <c r="P36" s="46">
        <f t="shared" ref="P36:Q36" ca="1" si="123">(1-$C$5)*V36</f>
        <v>2.4634551511213485</v>
      </c>
      <c r="Q36" s="46">
        <f t="shared" ca="1" si="123"/>
        <v>0</v>
      </c>
      <c r="R36" s="21">
        <f t="shared" si="5"/>
        <v>0</v>
      </c>
      <c r="S36" s="128">
        <f t="shared" ref="S36:T36" ca="1" si="124">$R36*P36</f>
        <v>0</v>
      </c>
      <c r="T36" s="128">
        <f t="shared" ca="1" si="124"/>
        <v>0</v>
      </c>
      <c r="V36" s="75">
        <f ca="1"/>
        <v>2.4634551511213485</v>
      </c>
      <c r="W36" s="75">
        <f ca="1"/>
        <v>0</v>
      </c>
      <c r="X36" s="21">
        <f t="shared" ca="1" si="7"/>
        <v>14966.572877022703</v>
      </c>
      <c r="Y36" s="128">
        <f t="shared" ref="Y36:Z36" ca="1" si="125">$X36*V36</f>
        <v>36869.481048534639</v>
      </c>
      <c r="Z36" s="128">
        <f t="shared" ca="1" si="125"/>
        <v>0</v>
      </c>
      <c r="AA36" s="128"/>
      <c r="AB36" s="161">
        <f t="shared" ref="AB36:AC36" ca="1" si="126">V36</f>
        <v>2.4634551511213485</v>
      </c>
      <c r="AC36" s="161">
        <f t="shared" ca="1" si="126"/>
        <v>0</v>
      </c>
      <c r="AD36" s="128">
        <f t="shared" ca="1" si="10"/>
        <v>14966.572877022703</v>
      </c>
      <c r="AE36" s="128">
        <f t="shared" ref="AE36:AF36" ca="1" si="127">$AD36*AB36</f>
        <v>36869.481048534639</v>
      </c>
      <c r="AF36" s="128">
        <f t="shared" ca="1" si="127"/>
        <v>0</v>
      </c>
      <c r="AG36" s="128"/>
    </row>
    <row r="37" spans="1:33" ht="13.2">
      <c r="H37" s="2"/>
      <c r="M37" s="20" t="s">
        <v>5</v>
      </c>
      <c r="N37" s="20" t="s">
        <v>370</v>
      </c>
      <c r="O37" s="20" t="s">
        <v>376</v>
      </c>
      <c r="P37" s="46">
        <f t="shared" ref="P37:Q37" ca="1" si="128">(1-$C$5)*V37</f>
        <v>4.3176174023855989</v>
      </c>
      <c r="Q37" s="46">
        <f t="shared" ca="1" si="128"/>
        <v>0</v>
      </c>
      <c r="R37" s="21">
        <f t="shared" si="5"/>
        <v>0</v>
      </c>
      <c r="S37" s="128">
        <f t="shared" ref="S37:T37" ca="1" si="129">$R37*P37</f>
        <v>0</v>
      </c>
      <c r="T37" s="128">
        <f t="shared" ca="1" si="129"/>
        <v>0</v>
      </c>
      <c r="V37" s="75">
        <f ca="1"/>
        <v>4.3176174023855989</v>
      </c>
      <c r="W37" s="75">
        <f ca="1"/>
        <v>0</v>
      </c>
      <c r="X37" s="21">
        <f t="shared" ca="1" si="7"/>
        <v>14966.572877022703</v>
      </c>
      <c r="Y37" s="128">
        <f t="shared" ref="Y37:Z37" ca="1" si="130">$X37*V37</f>
        <v>64619.935507905524</v>
      </c>
      <c r="Z37" s="128">
        <f t="shared" ca="1" si="130"/>
        <v>0</v>
      </c>
      <c r="AA37" s="128"/>
      <c r="AB37" s="161">
        <f t="shared" ref="AB37:AC37" ca="1" si="131">V37</f>
        <v>4.3176174023855989</v>
      </c>
      <c r="AC37" s="161">
        <f t="shared" ca="1" si="131"/>
        <v>0</v>
      </c>
      <c r="AD37" s="128">
        <f t="shared" ca="1" si="10"/>
        <v>14966.572877022703</v>
      </c>
      <c r="AE37" s="128">
        <f t="shared" ref="AE37:AF37" ca="1" si="132">$AD37*AB37</f>
        <v>64619.935507905524</v>
      </c>
      <c r="AF37" s="128">
        <f t="shared" ca="1" si="132"/>
        <v>0</v>
      </c>
      <c r="AG37" s="128"/>
    </row>
    <row r="38" spans="1:33" ht="13.2">
      <c r="H38" s="9"/>
      <c r="M38" s="20" t="s">
        <v>5</v>
      </c>
      <c r="N38" s="20" t="s">
        <v>370</v>
      </c>
      <c r="O38" s="20" t="s">
        <v>377</v>
      </c>
      <c r="P38" s="46">
        <f ca="1">IF($C$6="Yes",((1-$C$4)*W38/$F$4)+V38,(1-$C$4)*V38)</f>
        <v>19.273926859426833</v>
      </c>
      <c r="Q38" s="46">
        <f>IF($C$6="Yes",0,(1-$C$4)*W38)</f>
        <v>0</v>
      </c>
      <c r="R38" s="21">
        <f t="shared" si="5"/>
        <v>0</v>
      </c>
      <c r="S38" s="128">
        <f t="shared" ref="S38:T38" ca="1" si="133">$R38*P38</f>
        <v>0</v>
      </c>
      <c r="T38" s="128">
        <f t="shared" si="133"/>
        <v>0</v>
      </c>
      <c r="V38" s="75">
        <f ca="1"/>
        <v>13.253481543915322</v>
      </c>
      <c r="W38" s="75">
        <f ca="1"/>
        <v>36.122671893069061</v>
      </c>
      <c r="X38" s="21">
        <f t="shared" ca="1" si="7"/>
        <v>14966.572877022703</v>
      </c>
      <c r="Y38" s="128">
        <f t="shared" ref="Y38:Z38" ca="1" si="134">$X38*V38</f>
        <v>198359.19740128404</v>
      </c>
      <c r="Z38" s="128">
        <f t="shared" ca="1" si="134"/>
        <v>540632.60140039772</v>
      </c>
      <c r="AA38" s="128"/>
      <c r="AB38" s="161">
        <f t="shared" ref="AB38:AC38" ca="1" si="135">V38</f>
        <v>13.253481543915322</v>
      </c>
      <c r="AC38" s="161">
        <f t="shared" ca="1" si="135"/>
        <v>36.122671893069061</v>
      </c>
      <c r="AD38" s="128">
        <f t="shared" ca="1" si="10"/>
        <v>14966.572877022703</v>
      </c>
      <c r="AE38" s="128">
        <f t="shared" ref="AE38:AF38" ca="1" si="136">$AD38*AB38</f>
        <v>198359.19740128404</v>
      </c>
      <c r="AF38" s="128">
        <f t="shared" ca="1" si="136"/>
        <v>540632.60140039772</v>
      </c>
      <c r="AG38" s="128"/>
    </row>
    <row r="39" spans="1:33" ht="13.2">
      <c r="M39" s="20" t="s">
        <v>5</v>
      </c>
      <c r="N39" s="20" t="s">
        <v>370</v>
      </c>
      <c r="O39" s="20" t="s">
        <v>378</v>
      </c>
      <c r="P39" s="46">
        <f ca="1">IF($C$7="Yes",((1-$C$5)*W39/$F$4)+V39,(1-$C$5)*V39)</f>
        <v>4.8017545273305444</v>
      </c>
      <c r="Q39" s="46">
        <f>IF($C$7="Yes",0,(1-$C$5)*W39)</f>
        <v>0</v>
      </c>
      <c r="R39" s="21">
        <f t="shared" si="5"/>
        <v>0</v>
      </c>
      <c r="S39" s="128">
        <f t="shared" ref="S39:T39" ca="1" si="137">$R39*P39</f>
        <v>0</v>
      </c>
      <c r="T39" s="128">
        <f t="shared" si="137"/>
        <v>0</v>
      </c>
      <c r="V39" s="75">
        <f ca="1"/>
        <v>2.9958505249510519</v>
      </c>
      <c r="W39" s="75">
        <f ca="1"/>
        <v>5.4177120071384772</v>
      </c>
      <c r="X39" s="21">
        <f t="shared" ca="1" si="7"/>
        <v>14966.572877022703</v>
      </c>
      <c r="Y39" s="128">
        <f t="shared" ref="Y39:Z39" ca="1" si="138">$X39*V39</f>
        <v>44837.615210346637</v>
      </c>
      <c r="Z39" s="128">
        <f t="shared" ca="1" si="138"/>
        <v>81084.581581558959</v>
      </c>
      <c r="AA39" s="128"/>
      <c r="AB39" s="161">
        <f t="shared" ref="AB39:AC39" ca="1" si="139">V39</f>
        <v>2.9958505249510519</v>
      </c>
      <c r="AC39" s="161">
        <f t="shared" ca="1" si="139"/>
        <v>5.4177120071384772</v>
      </c>
      <c r="AD39" s="128">
        <f t="shared" ca="1" si="10"/>
        <v>14966.572877022703</v>
      </c>
      <c r="AE39" s="128">
        <f t="shared" ref="AE39:AF39" ca="1" si="140">$AD39*AB39</f>
        <v>44837.615210346637</v>
      </c>
      <c r="AF39" s="128">
        <f t="shared" ca="1" si="140"/>
        <v>81084.581581558959</v>
      </c>
      <c r="AG39" s="128"/>
    </row>
    <row r="40" spans="1:33" ht="13.2">
      <c r="M40" s="20" t="s">
        <v>9</v>
      </c>
      <c r="N40" s="20" t="s">
        <v>366</v>
      </c>
      <c r="O40" s="20" t="s">
        <v>369</v>
      </c>
      <c r="P40" s="46">
        <f t="shared" ref="P40:Q40" ca="1" si="141">(1-$C$5)*V40</f>
        <v>1.2562172913022078</v>
      </c>
      <c r="Q40" s="46">
        <f t="shared" ca="1" si="141"/>
        <v>0</v>
      </c>
      <c r="R40" s="21">
        <f t="shared" si="5"/>
        <v>0</v>
      </c>
      <c r="S40" s="128">
        <f t="shared" ref="S40:T40" ca="1" si="142">$R40*P40</f>
        <v>0</v>
      </c>
      <c r="T40" s="128">
        <f t="shared" ca="1" si="142"/>
        <v>0</v>
      </c>
      <c r="V40" s="75">
        <f ca="1"/>
        <v>1.2562172913022078</v>
      </c>
      <c r="W40" s="75">
        <f ca="1"/>
        <v>0</v>
      </c>
      <c r="X40" s="21">
        <f t="shared" ca="1" si="7"/>
        <v>230.20137501171459</v>
      </c>
      <c r="Y40" s="128">
        <f t="shared" ref="Y40:Z40" ca="1" si="143">$X40*V40</f>
        <v>289.18294777125988</v>
      </c>
      <c r="Z40" s="128">
        <f t="shared" ca="1" si="143"/>
        <v>0</v>
      </c>
      <c r="AA40" s="128"/>
      <c r="AB40" s="161">
        <f t="shared" ref="AB40:AC40" ca="1" si="144">V40</f>
        <v>1.2562172913022078</v>
      </c>
      <c r="AC40" s="161">
        <f t="shared" ca="1" si="144"/>
        <v>0</v>
      </c>
      <c r="AD40" s="128">
        <f t="shared" ca="1" si="10"/>
        <v>230.20137501171459</v>
      </c>
      <c r="AE40" s="128">
        <f t="shared" ref="AE40:AF40" ca="1" si="145">$AD40*AB40</f>
        <v>289.18294777125988</v>
      </c>
      <c r="AF40" s="128">
        <f t="shared" ca="1" si="145"/>
        <v>0</v>
      </c>
      <c r="AG40" s="128"/>
    </row>
    <row r="41" spans="1:33" ht="13.2">
      <c r="M41" s="20" t="s">
        <v>9</v>
      </c>
      <c r="N41" s="20" t="s">
        <v>366</v>
      </c>
      <c r="O41" s="20" t="s">
        <v>372</v>
      </c>
      <c r="P41" s="46">
        <f t="shared" ref="P41:Q41" ca="1" si="146">(1-$C$5)*V41</f>
        <v>4.2721365955280097</v>
      </c>
      <c r="Q41" s="46">
        <f t="shared" ca="1" si="146"/>
        <v>0.49034253395724603</v>
      </c>
      <c r="R41" s="21">
        <f t="shared" si="5"/>
        <v>0</v>
      </c>
      <c r="S41" s="128">
        <f t="shared" ref="S41:T41" ca="1" si="147">$R41*P41</f>
        <v>0</v>
      </c>
      <c r="T41" s="128">
        <f t="shared" ca="1" si="147"/>
        <v>0</v>
      </c>
      <c r="V41" s="75">
        <f ca="1"/>
        <v>4.2721365955280097</v>
      </c>
      <c r="W41" s="75">
        <f ca="1"/>
        <v>0.49034253395724603</v>
      </c>
      <c r="X41" s="21">
        <f t="shared" ca="1" si="7"/>
        <v>230.20137501171459</v>
      </c>
      <c r="Y41" s="128">
        <f t="shared" ref="Y41:Z41" ca="1" si="148">$X41*V41</f>
        <v>983.45171852841304</v>
      </c>
      <c r="Z41" s="128">
        <f t="shared" ca="1" si="148"/>
        <v>112.87752554368639</v>
      </c>
      <c r="AA41" s="128"/>
      <c r="AB41" s="161">
        <f t="shared" ref="AB41:AC41" ca="1" si="149">V41</f>
        <v>4.2721365955280097</v>
      </c>
      <c r="AC41" s="161">
        <f t="shared" ca="1" si="149"/>
        <v>0.49034253395724603</v>
      </c>
      <c r="AD41" s="128">
        <f t="shared" ca="1" si="10"/>
        <v>230.20137501171459</v>
      </c>
      <c r="AE41" s="128">
        <f t="shared" ref="AE41:AF41" ca="1" si="150">$AD41*AB41</f>
        <v>983.45171852841304</v>
      </c>
      <c r="AF41" s="128">
        <f t="shared" ca="1" si="150"/>
        <v>112.87752554368639</v>
      </c>
      <c r="AG41" s="128"/>
    </row>
    <row r="42" spans="1:33" ht="13.2">
      <c r="M42" s="20" t="s">
        <v>9</v>
      </c>
      <c r="N42" s="20" t="s">
        <v>366</v>
      </c>
      <c r="O42" s="20" t="s">
        <v>374</v>
      </c>
      <c r="P42" s="46">
        <f t="shared" ref="P42:Q42" ca="1" si="151">(1-$C$5)*V42</f>
        <v>4.2859173166227835</v>
      </c>
      <c r="Q42" s="46">
        <f t="shared" ca="1" si="151"/>
        <v>0</v>
      </c>
      <c r="R42" s="21">
        <f t="shared" si="5"/>
        <v>0</v>
      </c>
      <c r="S42" s="128">
        <f t="shared" ref="S42:T42" ca="1" si="152">$R42*P42</f>
        <v>0</v>
      </c>
      <c r="T42" s="128">
        <f t="shared" ca="1" si="152"/>
        <v>0</v>
      </c>
      <c r="V42" s="75">
        <f ca="1"/>
        <v>4.2859173166227835</v>
      </c>
      <c r="W42" s="75">
        <f ca="1"/>
        <v>0</v>
      </c>
      <c r="X42" s="21">
        <f t="shared" ca="1" si="7"/>
        <v>230.20137501171459</v>
      </c>
      <c r="Y42" s="128">
        <f t="shared" ref="Y42:Z42" ca="1" si="153">$X42*V42</f>
        <v>986.62405947308287</v>
      </c>
      <c r="Z42" s="128">
        <f t="shared" ca="1" si="153"/>
        <v>0</v>
      </c>
      <c r="AA42" s="128"/>
      <c r="AB42" s="161">
        <f t="shared" ref="AB42:AC42" ca="1" si="154">V42</f>
        <v>4.2859173166227835</v>
      </c>
      <c r="AC42" s="161">
        <f t="shared" ca="1" si="154"/>
        <v>0</v>
      </c>
      <c r="AD42" s="128">
        <f t="shared" ca="1" si="10"/>
        <v>230.20137501171459</v>
      </c>
      <c r="AE42" s="128">
        <f t="shared" ref="AE42:AF42" ca="1" si="155">$AD42*AB42</f>
        <v>986.62405947308287</v>
      </c>
      <c r="AF42" s="128">
        <f t="shared" ca="1" si="155"/>
        <v>0</v>
      </c>
      <c r="AG42" s="128"/>
    </row>
    <row r="43" spans="1:33" ht="13.2">
      <c r="M43" s="20" t="s">
        <v>9</v>
      </c>
      <c r="N43" s="20" t="s">
        <v>366</v>
      </c>
      <c r="O43" s="20" t="s">
        <v>375</v>
      </c>
      <c r="P43" s="46">
        <f t="shared" ref="P43:Q43" ca="1" si="156">(1-$C$5)*V43</f>
        <v>1.6407396498923468</v>
      </c>
      <c r="Q43" s="46">
        <f t="shared" ca="1" si="156"/>
        <v>0</v>
      </c>
      <c r="R43" s="21">
        <f t="shared" si="5"/>
        <v>0</v>
      </c>
      <c r="S43" s="128">
        <f t="shared" ref="S43:T43" ca="1" si="157">$R43*P43</f>
        <v>0</v>
      </c>
      <c r="T43" s="128">
        <f t="shared" ca="1" si="157"/>
        <v>0</v>
      </c>
      <c r="V43" s="75">
        <f ca="1"/>
        <v>1.6407396498923468</v>
      </c>
      <c r="W43" s="75">
        <f ca="1"/>
        <v>0</v>
      </c>
      <c r="X43" s="21">
        <f t="shared" ca="1" si="7"/>
        <v>230.20137501171459</v>
      </c>
      <c r="Y43" s="128">
        <f t="shared" ref="Y43:Z43" ca="1" si="158">$X43*V43</f>
        <v>377.70052344145739</v>
      </c>
      <c r="Z43" s="128">
        <f t="shared" ca="1" si="158"/>
        <v>0</v>
      </c>
      <c r="AA43" s="128"/>
      <c r="AB43" s="161">
        <f t="shared" ref="AB43:AC43" ca="1" si="159">V43</f>
        <v>1.6407396498923468</v>
      </c>
      <c r="AC43" s="161">
        <f t="shared" ca="1" si="159"/>
        <v>0</v>
      </c>
      <c r="AD43" s="128">
        <f t="shared" ca="1" si="10"/>
        <v>230.20137501171459</v>
      </c>
      <c r="AE43" s="128">
        <f t="shared" ref="AE43:AF43" ca="1" si="160">$AD43*AB43</f>
        <v>377.70052344145739</v>
      </c>
      <c r="AF43" s="128">
        <f t="shared" ca="1" si="160"/>
        <v>0</v>
      </c>
      <c r="AG43" s="128"/>
    </row>
    <row r="44" spans="1:33" ht="13.2">
      <c r="M44" s="20" t="s">
        <v>9</v>
      </c>
      <c r="N44" s="20" t="s">
        <v>366</v>
      </c>
      <c r="O44" s="20" t="s">
        <v>376</v>
      </c>
      <c r="P44" s="46">
        <f t="shared" ref="P44:Q44" ca="1" si="161">(1-$C$5)*V44</f>
        <v>4.01207539637225</v>
      </c>
      <c r="Q44" s="46">
        <f t="shared" ca="1" si="161"/>
        <v>0</v>
      </c>
      <c r="R44" s="21">
        <f t="shared" si="5"/>
        <v>0</v>
      </c>
      <c r="S44" s="128">
        <f t="shared" ref="S44:T44" ca="1" si="162">$R44*P44</f>
        <v>0</v>
      </c>
      <c r="T44" s="128">
        <f t="shared" ca="1" si="162"/>
        <v>0</v>
      </c>
      <c r="V44" s="75">
        <f ca="1"/>
        <v>4.01207539637225</v>
      </c>
      <c r="W44" s="75">
        <f ca="1"/>
        <v>0</v>
      </c>
      <c r="X44" s="21">
        <f t="shared" ca="1" si="7"/>
        <v>230.20137501171459</v>
      </c>
      <c r="Y44" s="128">
        <f t="shared" ref="Y44:Z44" ca="1" si="163">$X44*V44</f>
        <v>923.58527289556173</v>
      </c>
      <c r="Z44" s="128">
        <f t="shared" ca="1" si="163"/>
        <v>0</v>
      </c>
      <c r="AA44" s="128"/>
      <c r="AB44" s="161">
        <f t="shared" ref="AB44:AC44" ca="1" si="164">V44</f>
        <v>4.01207539637225</v>
      </c>
      <c r="AC44" s="161">
        <f t="shared" ca="1" si="164"/>
        <v>0</v>
      </c>
      <c r="AD44" s="128">
        <f t="shared" ca="1" si="10"/>
        <v>230.20137501171459</v>
      </c>
      <c r="AE44" s="128">
        <f t="shared" ref="AE44:AF44" ca="1" si="165">$AD44*AB44</f>
        <v>923.58527289556173</v>
      </c>
      <c r="AF44" s="128">
        <f t="shared" ca="1" si="165"/>
        <v>0</v>
      </c>
      <c r="AG44" s="128"/>
    </row>
    <row r="45" spans="1:33" ht="13.2">
      <c r="M45" s="20" t="s">
        <v>9</v>
      </c>
      <c r="N45" s="20" t="s">
        <v>366</v>
      </c>
      <c r="O45" s="20" t="s">
        <v>377</v>
      </c>
      <c r="P45" s="46">
        <f ca="1">IF($C$6="Yes",((1-$C$4)*W45/$F$4)+V45,(1-$C$4)*V45)</f>
        <v>28.420450254784644</v>
      </c>
      <c r="Q45" s="46">
        <f>IF($C$6="Yes",0,(1-$C$4)*W45)</f>
        <v>0</v>
      </c>
      <c r="R45" s="21">
        <f t="shared" si="5"/>
        <v>0</v>
      </c>
      <c r="S45" s="128">
        <f t="shared" ref="S45:T45" ca="1" si="166">$R45*P45</f>
        <v>0</v>
      </c>
      <c r="T45" s="128">
        <f t="shared" si="166"/>
        <v>0</v>
      </c>
      <c r="V45" s="75">
        <f ca="1"/>
        <v>22.642593601938355</v>
      </c>
      <c r="W45" s="75">
        <f ca="1"/>
        <v>34.667139917077741</v>
      </c>
      <c r="X45" s="21">
        <f t="shared" ca="1" si="7"/>
        <v>230.20137501171459</v>
      </c>
      <c r="Y45" s="128">
        <f t="shared" ref="Y45:Z45" ca="1" si="167">$X45*V45</f>
        <v>5212.3561809976609</v>
      </c>
      <c r="Z45" s="128">
        <f t="shared" ca="1" si="167"/>
        <v>7980.4232766347932</v>
      </c>
      <c r="AA45" s="128"/>
      <c r="AB45" s="161">
        <f t="shared" ref="AB45:AC45" ca="1" si="168">V45</f>
        <v>22.642593601938355</v>
      </c>
      <c r="AC45" s="161">
        <f t="shared" ca="1" si="168"/>
        <v>34.667139917077741</v>
      </c>
      <c r="AD45" s="128">
        <f t="shared" ca="1" si="10"/>
        <v>230.20137501171459</v>
      </c>
      <c r="AE45" s="128">
        <f t="shared" ref="AE45:AF45" ca="1" si="169">$AD45*AB45</f>
        <v>5212.3561809976609</v>
      </c>
      <c r="AF45" s="128">
        <f t="shared" ca="1" si="169"/>
        <v>7980.4232766347932</v>
      </c>
      <c r="AG45" s="128"/>
    </row>
    <row r="46" spans="1:33" ht="13.2">
      <c r="M46" s="20" t="s">
        <v>9</v>
      </c>
      <c r="N46" s="20" t="s">
        <v>366</v>
      </c>
      <c r="O46" s="20" t="s">
        <v>378</v>
      </c>
      <c r="P46" s="46">
        <f ca="1">IF($C$7="Yes",((1-$C$5)*W46/$F$4)+V46,(1-$C$5)*V46)</f>
        <v>2.4891170263654212</v>
      </c>
      <c r="Q46" s="46">
        <f>IF($C$7="Yes",0,(1-$C$5)*W46)</f>
        <v>0</v>
      </c>
      <c r="R46" s="21">
        <f t="shared" si="5"/>
        <v>0</v>
      </c>
      <c r="S46" s="128">
        <f t="shared" ref="S46:T46" ca="1" si="170">$R46*P46</f>
        <v>0</v>
      </c>
      <c r="T46" s="128">
        <f t="shared" si="170"/>
        <v>0</v>
      </c>
      <c r="V46" s="75">
        <f ca="1"/>
        <v>1.13442278711678</v>
      </c>
      <c r="W46" s="75">
        <f ca="1"/>
        <v>4.064082717745924</v>
      </c>
      <c r="X46" s="21">
        <f t="shared" ca="1" si="7"/>
        <v>230.20137501171459</v>
      </c>
      <c r="Y46" s="128">
        <f t="shared" ref="Y46:Z46" ca="1" si="171">$X46*V46</f>
        <v>261.14568543890437</v>
      </c>
      <c r="Z46" s="128">
        <f t="shared" ca="1" si="171"/>
        <v>935.55742978645765</v>
      </c>
      <c r="AA46" s="128"/>
      <c r="AB46" s="161">
        <f t="shared" ref="AB46:AC46" ca="1" si="172">V46</f>
        <v>1.13442278711678</v>
      </c>
      <c r="AC46" s="161">
        <f t="shared" ca="1" si="172"/>
        <v>4.064082717745924</v>
      </c>
      <c r="AD46" s="128">
        <f t="shared" ca="1" si="10"/>
        <v>230.20137501171459</v>
      </c>
      <c r="AE46" s="128">
        <f t="shared" ref="AE46:AF46" ca="1" si="173">$AD46*AB46</f>
        <v>261.14568543890437</v>
      </c>
      <c r="AF46" s="128">
        <f t="shared" ca="1" si="173"/>
        <v>935.55742978645765</v>
      </c>
      <c r="AG46" s="128"/>
    </row>
    <row r="47" spans="1:33" ht="13.2">
      <c r="M47" s="20" t="s">
        <v>9</v>
      </c>
      <c r="N47" s="20" t="s">
        <v>371</v>
      </c>
      <c r="O47" s="20" t="s">
        <v>369</v>
      </c>
      <c r="P47" s="46">
        <f t="shared" ref="P47:Q47" ca="1" si="174">(1-$C$5)*V47</f>
        <v>2.2055779446775898</v>
      </c>
      <c r="Q47" s="46">
        <f t="shared" ca="1" si="174"/>
        <v>0</v>
      </c>
      <c r="R47" s="21">
        <f t="shared" si="5"/>
        <v>0</v>
      </c>
      <c r="S47" s="128">
        <f t="shared" ref="S47:T47" ca="1" si="175">$R47*P47</f>
        <v>0</v>
      </c>
      <c r="T47" s="128">
        <f t="shared" ca="1" si="175"/>
        <v>0</v>
      </c>
      <c r="V47" s="75">
        <f ca="1"/>
        <v>2.2055779446775898</v>
      </c>
      <c r="W47" s="75">
        <f ca="1"/>
        <v>0</v>
      </c>
      <c r="X47" s="21">
        <f t="shared" ca="1" si="7"/>
        <v>2046.8472827334169</v>
      </c>
      <c r="Y47" s="128">
        <f t="shared" ref="Y47:Z47" ca="1" si="176">$X47*V47</f>
        <v>4514.4812229200797</v>
      </c>
      <c r="Z47" s="128">
        <f t="shared" ca="1" si="176"/>
        <v>0</v>
      </c>
      <c r="AA47" s="128"/>
      <c r="AB47" s="161">
        <f t="shared" ref="AB47:AC47" ca="1" si="177">V47</f>
        <v>2.2055779446775898</v>
      </c>
      <c r="AC47" s="161">
        <f t="shared" ca="1" si="177"/>
        <v>0</v>
      </c>
      <c r="AD47" s="128">
        <f t="shared" ca="1" si="10"/>
        <v>2046.8472827334169</v>
      </c>
      <c r="AE47" s="128">
        <f t="shared" ref="AE47:AF47" ca="1" si="178">$AD47*AB47</f>
        <v>4514.4812229200797</v>
      </c>
      <c r="AF47" s="128">
        <f t="shared" ca="1" si="178"/>
        <v>0</v>
      </c>
      <c r="AG47" s="128"/>
    </row>
    <row r="48" spans="1:33" ht="13.2">
      <c r="M48" s="20" t="s">
        <v>9</v>
      </c>
      <c r="N48" s="20" t="s">
        <v>371</v>
      </c>
      <c r="O48" s="20" t="s">
        <v>372</v>
      </c>
      <c r="P48" s="46">
        <f t="shared" ref="P48:Q48" ca="1" si="179">(1-$C$5)*V48</f>
        <v>3.7612928264543175</v>
      </c>
      <c r="Q48" s="46">
        <f t="shared" ca="1" si="179"/>
        <v>0.77237742552579092</v>
      </c>
      <c r="R48" s="21">
        <f t="shared" si="5"/>
        <v>0</v>
      </c>
      <c r="S48" s="128">
        <f t="shared" ref="S48:T48" ca="1" si="180">$R48*P48</f>
        <v>0</v>
      </c>
      <c r="T48" s="128">
        <f t="shared" ca="1" si="180"/>
        <v>0</v>
      </c>
      <c r="V48" s="75">
        <f ca="1"/>
        <v>3.7612928264543175</v>
      </c>
      <c r="W48" s="75">
        <f ca="1"/>
        <v>0.77237742552579092</v>
      </c>
      <c r="X48" s="21">
        <f t="shared" ca="1" si="7"/>
        <v>2046.8472827334169</v>
      </c>
      <c r="Y48" s="128">
        <f t="shared" ref="Y48:Z48" ca="1" si="181">$X48*V48</f>
        <v>7698.7920013927132</v>
      </c>
      <c r="Z48" s="128">
        <f t="shared" ca="1" si="181"/>
        <v>1580.9386346820972</v>
      </c>
      <c r="AA48" s="128"/>
      <c r="AB48" s="161">
        <f t="shared" ref="AB48:AC48" ca="1" si="182">V48</f>
        <v>3.7612928264543175</v>
      </c>
      <c r="AC48" s="161">
        <f t="shared" ca="1" si="182"/>
        <v>0.77237742552579092</v>
      </c>
      <c r="AD48" s="128">
        <f t="shared" ca="1" si="10"/>
        <v>2046.8472827334169</v>
      </c>
      <c r="AE48" s="128">
        <f t="shared" ref="AE48:AF48" ca="1" si="183">$AD48*AB48</f>
        <v>7698.7920013927132</v>
      </c>
      <c r="AF48" s="128">
        <f t="shared" ca="1" si="183"/>
        <v>1580.9386346820972</v>
      </c>
      <c r="AG48" s="128"/>
    </row>
    <row r="49" spans="13:33" ht="13.2">
      <c r="M49" s="20" t="s">
        <v>9</v>
      </c>
      <c r="N49" s="20" t="s">
        <v>371</v>
      </c>
      <c r="O49" s="20" t="s">
        <v>374</v>
      </c>
      <c r="P49" s="46">
        <f t="shared" ref="P49:Q49" ca="1" si="184">(1-$C$5)*V49</f>
        <v>5.1808536346989182</v>
      </c>
      <c r="Q49" s="46">
        <f t="shared" ca="1" si="184"/>
        <v>0</v>
      </c>
      <c r="R49" s="21">
        <f t="shared" si="5"/>
        <v>0</v>
      </c>
      <c r="S49" s="128">
        <f t="shared" ref="S49:T49" ca="1" si="185">$R49*P49</f>
        <v>0</v>
      </c>
      <c r="T49" s="128">
        <f t="shared" ca="1" si="185"/>
        <v>0</v>
      </c>
      <c r="V49" s="75">
        <f ca="1"/>
        <v>5.1808536346989182</v>
      </c>
      <c r="W49" s="75">
        <f ca="1"/>
        <v>0</v>
      </c>
      <c r="X49" s="21">
        <f t="shared" ca="1" si="7"/>
        <v>2046.8472827334169</v>
      </c>
      <c r="Y49" s="128">
        <f t="shared" ref="Y49:Z49" ca="1" si="186">$X49*V49</f>
        <v>10604.416184423028</v>
      </c>
      <c r="Z49" s="128">
        <f t="shared" ca="1" si="186"/>
        <v>0</v>
      </c>
      <c r="AA49" s="128"/>
      <c r="AB49" s="161">
        <f t="shared" ref="AB49:AC49" ca="1" si="187">V49</f>
        <v>5.1808536346989182</v>
      </c>
      <c r="AC49" s="161">
        <f t="shared" ca="1" si="187"/>
        <v>0</v>
      </c>
      <c r="AD49" s="128">
        <f t="shared" ca="1" si="10"/>
        <v>2046.8472827334169</v>
      </c>
      <c r="AE49" s="128">
        <f t="shared" ref="AE49:AF49" ca="1" si="188">$AD49*AB49</f>
        <v>10604.416184423028</v>
      </c>
      <c r="AF49" s="128">
        <f t="shared" ca="1" si="188"/>
        <v>0</v>
      </c>
      <c r="AG49" s="128"/>
    </row>
    <row r="50" spans="13:33" ht="13.2">
      <c r="M50" s="20" t="s">
        <v>9</v>
      </c>
      <c r="N50" s="20" t="s">
        <v>371</v>
      </c>
      <c r="O50" s="20" t="s">
        <v>375</v>
      </c>
      <c r="P50" s="46">
        <f t="shared" ref="P50:Q50" ca="1" si="189">(1-$C$5)*V50</f>
        <v>1.380567509160465</v>
      </c>
      <c r="Q50" s="46">
        <f t="shared" ca="1" si="189"/>
        <v>0</v>
      </c>
      <c r="R50" s="21">
        <f t="shared" si="5"/>
        <v>0</v>
      </c>
      <c r="S50" s="128">
        <f t="shared" ref="S50:T50" ca="1" si="190">$R50*P50</f>
        <v>0</v>
      </c>
      <c r="T50" s="128">
        <f t="shared" ca="1" si="190"/>
        <v>0</v>
      </c>
      <c r="V50" s="75">
        <f ca="1"/>
        <v>1.380567509160465</v>
      </c>
      <c r="W50" s="75">
        <f ca="1"/>
        <v>0</v>
      </c>
      <c r="X50" s="21">
        <f t="shared" ca="1" si="7"/>
        <v>2046.8472827334169</v>
      </c>
      <c r="Y50" s="128">
        <f t="shared" ref="Y50:Z50" ca="1" si="191">$X50*V50</f>
        <v>2825.8108547551396</v>
      </c>
      <c r="Z50" s="128">
        <f t="shared" ca="1" si="191"/>
        <v>0</v>
      </c>
      <c r="AA50" s="128"/>
      <c r="AB50" s="161">
        <f t="shared" ref="AB50:AC50" ca="1" si="192">V50</f>
        <v>1.380567509160465</v>
      </c>
      <c r="AC50" s="161">
        <f t="shared" ca="1" si="192"/>
        <v>0</v>
      </c>
      <c r="AD50" s="128">
        <f t="shared" ca="1" si="10"/>
        <v>2046.8472827334169</v>
      </c>
      <c r="AE50" s="128">
        <f t="shared" ref="AE50:AF50" ca="1" si="193">$AD50*AB50</f>
        <v>2825.8108547551396</v>
      </c>
      <c r="AF50" s="128">
        <f t="shared" ca="1" si="193"/>
        <v>0</v>
      </c>
      <c r="AG50" s="128"/>
    </row>
    <row r="51" spans="13:33" ht="13.2">
      <c r="M51" s="20" t="s">
        <v>9</v>
      </c>
      <c r="N51" s="20" t="s">
        <v>371</v>
      </c>
      <c r="O51" s="20" t="s">
        <v>376</v>
      </c>
      <c r="P51" s="46">
        <f t="shared" ref="P51:Q51" ca="1" si="194">(1-$C$5)*V51</f>
        <v>3.5714676893688013</v>
      </c>
      <c r="Q51" s="46">
        <f t="shared" ca="1" si="194"/>
        <v>0</v>
      </c>
      <c r="R51" s="21">
        <f t="shared" si="5"/>
        <v>0</v>
      </c>
      <c r="S51" s="128">
        <f t="shared" ref="S51:T51" ca="1" si="195">$R51*P51</f>
        <v>0</v>
      </c>
      <c r="T51" s="128">
        <f t="shared" ca="1" si="195"/>
        <v>0</v>
      </c>
      <c r="V51" s="75">
        <f ca="1"/>
        <v>3.5714676893688013</v>
      </c>
      <c r="W51" s="75">
        <f ca="1"/>
        <v>0</v>
      </c>
      <c r="X51" s="21">
        <f t="shared" ca="1" si="7"/>
        <v>2046.8472827334169</v>
      </c>
      <c r="Y51" s="128">
        <f t="shared" ref="Y51:Z51" ca="1" si="196">$X51*V51</f>
        <v>7310.2489353547262</v>
      </c>
      <c r="Z51" s="128">
        <f t="shared" ca="1" si="196"/>
        <v>0</v>
      </c>
      <c r="AA51" s="128"/>
      <c r="AB51" s="161">
        <f t="shared" ref="AB51:AC51" ca="1" si="197">V51</f>
        <v>3.5714676893688013</v>
      </c>
      <c r="AC51" s="161">
        <f t="shared" ca="1" si="197"/>
        <v>0</v>
      </c>
      <c r="AD51" s="128">
        <f t="shared" ca="1" si="10"/>
        <v>2046.8472827334169</v>
      </c>
      <c r="AE51" s="128">
        <f t="shared" ref="AE51:AF51" ca="1" si="198">$AD51*AB51</f>
        <v>7310.2489353547262</v>
      </c>
      <c r="AF51" s="128">
        <f t="shared" ca="1" si="198"/>
        <v>0</v>
      </c>
      <c r="AG51" s="128"/>
    </row>
    <row r="52" spans="13:33" ht="13.2">
      <c r="M52" s="20" t="s">
        <v>9</v>
      </c>
      <c r="N52" s="20" t="s">
        <v>371</v>
      </c>
      <c r="O52" s="20" t="s">
        <v>377</v>
      </c>
      <c r="P52" s="46">
        <f ca="1">IF($C$6="Yes",((1-$C$4)*W52/$F$4)+V52,(1-$C$4)*V52)</f>
        <v>23.996255952562308</v>
      </c>
      <c r="Q52" s="46">
        <f>IF($C$6="Yes",0,(1-$C$4)*W52)</f>
        <v>0</v>
      </c>
      <c r="R52" s="21">
        <f t="shared" si="5"/>
        <v>0</v>
      </c>
      <c r="S52" s="128">
        <f t="shared" ref="S52:T52" ca="1" si="199">$R52*P52</f>
        <v>0</v>
      </c>
      <c r="T52" s="128">
        <f t="shared" si="199"/>
        <v>0</v>
      </c>
      <c r="V52" s="75">
        <f ca="1"/>
        <v>19.255501213432055</v>
      </c>
      <c r="W52" s="75">
        <f ca="1"/>
        <v>28.444528434781528</v>
      </c>
      <c r="X52" s="21">
        <f t="shared" ca="1" si="7"/>
        <v>2046.8472827334169</v>
      </c>
      <c r="Y52" s="128">
        <f t="shared" ref="Y52:Z52" ca="1" si="200">$X52*V52</f>
        <v>39413.070336383411</v>
      </c>
      <c r="Z52" s="128">
        <f t="shared" ca="1" si="200"/>
        <v>58221.605735365985</v>
      </c>
      <c r="AA52" s="128"/>
      <c r="AB52" s="161">
        <f t="shared" ref="AB52:AC52" ca="1" si="201">V52</f>
        <v>19.255501213432055</v>
      </c>
      <c r="AC52" s="161">
        <f t="shared" ca="1" si="201"/>
        <v>28.444528434781528</v>
      </c>
      <c r="AD52" s="128">
        <f t="shared" ca="1" si="10"/>
        <v>2046.8472827334169</v>
      </c>
      <c r="AE52" s="128">
        <f t="shared" ref="AE52:AF52" ca="1" si="202">$AD52*AB52</f>
        <v>39413.070336383411</v>
      </c>
      <c r="AF52" s="128">
        <f t="shared" ca="1" si="202"/>
        <v>58221.605735365985</v>
      </c>
      <c r="AG52" s="128"/>
    </row>
    <row r="53" spans="13:33" ht="13.2">
      <c r="M53" s="20" t="s">
        <v>9</v>
      </c>
      <c r="N53" s="20" t="s">
        <v>371</v>
      </c>
      <c r="O53" s="20" t="s">
        <v>378</v>
      </c>
      <c r="P53" s="46">
        <f ca="1">IF($C$7="Yes",((1-$C$5)*W53/$F$4)+V53,(1-$C$5)*V53)</f>
        <v>7.2237282571384487</v>
      </c>
      <c r="Q53" s="46">
        <f>IF($C$7="Yes",0,(1-$C$5)*W53)</f>
        <v>0</v>
      </c>
      <c r="R53" s="21">
        <f t="shared" si="5"/>
        <v>0</v>
      </c>
      <c r="S53" s="128">
        <f t="shared" ref="S53:T53" ca="1" si="203">$R53*P53</f>
        <v>0</v>
      </c>
      <c r="T53" s="128">
        <f t="shared" si="203"/>
        <v>0</v>
      </c>
      <c r="V53" s="75">
        <f ca="1"/>
        <v>3.8888418209805846</v>
      </c>
      <c r="W53" s="75">
        <f ca="1"/>
        <v>10.004659308473592</v>
      </c>
      <c r="X53" s="21">
        <f t="shared" ca="1" si="7"/>
        <v>2046.8472827334169</v>
      </c>
      <c r="Y53" s="128">
        <f t="shared" ref="Y53:Z53" ca="1" si="204">$X53*V53</f>
        <v>7959.8653142541825</v>
      </c>
      <c r="Z53" s="128">
        <f t="shared" ca="1" si="204"/>
        <v>20478.009720222759</v>
      </c>
      <c r="AA53" s="128"/>
      <c r="AB53" s="161">
        <f t="shared" ref="AB53:AC53" ca="1" si="205">V53</f>
        <v>3.8888418209805846</v>
      </c>
      <c r="AC53" s="161">
        <f t="shared" ca="1" si="205"/>
        <v>10.004659308473592</v>
      </c>
      <c r="AD53" s="128">
        <f t="shared" ca="1" si="10"/>
        <v>2046.8472827334169</v>
      </c>
      <c r="AE53" s="128">
        <f t="shared" ref="AE53:AF53" ca="1" si="206">$AD53*AB53</f>
        <v>7959.8653142541825</v>
      </c>
      <c r="AF53" s="128">
        <f t="shared" ca="1" si="206"/>
        <v>20478.009720222759</v>
      </c>
      <c r="AG53" s="128"/>
    </row>
    <row r="54" spans="13:33" ht="13.2">
      <c r="M54" s="20" t="s">
        <v>9</v>
      </c>
      <c r="N54" s="20" t="s">
        <v>373</v>
      </c>
      <c r="O54" s="20" t="s">
        <v>369</v>
      </c>
      <c r="P54" s="46">
        <f t="shared" ref="P54:Q54" ca="1" si="207">(1-$C$5)*V54</f>
        <v>5.5422466823008323</v>
      </c>
      <c r="Q54" s="46">
        <f t="shared" ca="1" si="207"/>
        <v>0</v>
      </c>
      <c r="R54" s="21">
        <f t="shared" si="5"/>
        <v>0</v>
      </c>
      <c r="S54" s="128">
        <f t="shared" ref="S54:T54" ca="1" si="208">$R54*P54</f>
        <v>0</v>
      </c>
      <c r="T54" s="128">
        <f t="shared" ca="1" si="208"/>
        <v>0</v>
      </c>
      <c r="V54" s="75">
        <f ca="1"/>
        <v>5.5422466823008323</v>
      </c>
      <c r="W54" s="75">
        <f ca="1"/>
        <v>0</v>
      </c>
      <c r="X54" s="21">
        <f t="shared" ca="1" si="7"/>
        <v>511.78439362629621</v>
      </c>
      <c r="Y54" s="128">
        <f t="shared" ref="Y54:Z54" ca="1" si="209">$X54*V54</f>
        <v>2836.4353576286835</v>
      </c>
      <c r="Z54" s="128">
        <f t="shared" ca="1" si="209"/>
        <v>0</v>
      </c>
      <c r="AA54" s="128"/>
      <c r="AB54" s="161">
        <f t="shared" ref="AB54:AC54" ca="1" si="210">V54</f>
        <v>5.5422466823008323</v>
      </c>
      <c r="AC54" s="161">
        <f t="shared" ca="1" si="210"/>
        <v>0</v>
      </c>
      <c r="AD54" s="128">
        <f t="shared" ca="1" si="10"/>
        <v>511.78439362629621</v>
      </c>
      <c r="AE54" s="128">
        <f t="shared" ref="AE54:AF54" ca="1" si="211">$AD54*AB54</f>
        <v>2836.4353576286835</v>
      </c>
      <c r="AF54" s="128">
        <f t="shared" ca="1" si="211"/>
        <v>0</v>
      </c>
      <c r="AG54" s="128"/>
    </row>
    <row r="55" spans="13:33" ht="13.2">
      <c r="M55" s="20" t="s">
        <v>9</v>
      </c>
      <c r="N55" s="20" t="s">
        <v>373</v>
      </c>
      <c r="O55" s="20" t="s">
        <v>372</v>
      </c>
      <c r="P55" s="46">
        <f t="shared" ref="P55:Q55" ca="1" si="212">(1-$C$5)*V55</f>
        <v>6.5934000172430185</v>
      </c>
      <c r="Q55" s="46">
        <f t="shared" ca="1" si="212"/>
        <v>0.67049298070882069</v>
      </c>
      <c r="R55" s="21">
        <f t="shared" si="5"/>
        <v>0</v>
      </c>
      <c r="S55" s="128">
        <f t="shared" ref="S55:T55" ca="1" si="213">$R55*P55</f>
        <v>0</v>
      </c>
      <c r="T55" s="128">
        <f t="shared" ca="1" si="213"/>
        <v>0</v>
      </c>
      <c r="V55" s="75">
        <f ca="1"/>
        <v>6.5934000172430185</v>
      </c>
      <c r="W55" s="75">
        <f ca="1"/>
        <v>0.67049298070882069</v>
      </c>
      <c r="X55" s="21">
        <f t="shared" ca="1" si="7"/>
        <v>511.78439362629621</v>
      </c>
      <c r="Y55" s="128">
        <f t="shared" ref="Y55:Z55" ca="1" si="214">$X55*V55</f>
        <v>3374.399229760329</v>
      </c>
      <c r="Z55" s="128">
        <f t="shared" ca="1" si="214"/>
        <v>343.14784356275169</v>
      </c>
      <c r="AA55" s="128"/>
      <c r="AB55" s="161">
        <f t="shared" ref="AB55:AC55" ca="1" si="215">V55</f>
        <v>6.5934000172430185</v>
      </c>
      <c r="AC55" s="161">
        <f t="shared" ca="1" si="215"/>
        <v>0.67049298070882069</v>
      </c>
      <c r="AD55" s="128">
        <f t="shared" ca="1" si="10"/>
        <v>511.78439362629621</v>
      </c>
      <c r="AE55" s="128">
        <f t="shared" ref="AE55:AF55" ca="1" si="216">$AD55*AB55</f>
        <v>3374.399229760329</v>
      </c>
      <c r="AF55" s="128">
        <f t="shared" ca="1" si="216"/>
        <v>343.14784356275169</v>
      </c>
      <c r="AG55" s="128"/>
    </row>
    <row r="56" spans="13:33" ht="13.2">
      <c r="M56" s="20" t="s">
        <v>9</v>
      </c>
      <c r="N56" s="20" t="s">
        <v>373</v>
      </c>
      <c r="O56" s="20" t="s">
        <v>374</v>
      </c>
      <c r="P56" s="46">
        <f t="shared" ref="P56:Q56" ca="1" si="217">(1-$C$5)*V56</f>
        <v>10.774129485503751</v>
      </c>
      <c r="Q56" s="46">
        <f t="shared" ca="1" si="217"/>
        <v>0</v>
      </c>
      <c r="R56" s="21">
        <f t="shared" si="5"/>
        <v>0</v>
      </c>
      <c r="S56" s="128">
        <f t="shared" ref="S56:T56" ca="1" si="218">$R56*P56</f>
        <v>0</v>
      </c>
      <c r="T56" s="128">
        <f t="shared" ca="1" si="218"/>
        <v>0</v>
      </c>
      <c r="V56" s="75">
        <f ca="1"/>
        <v>10.774129485503751</v>
      </c>
      <c r="W56" s="75">
        <f ca="1"/>
        <v>0</v>
      </c>
      <c r="X56" s="21">
        <f t="shared" ca="1" si="7"/>
        <v>511.78439362629621</v>
      </c>
      <c r="Y56" s="128">
        <f t="shared" ref="Y56:Z56" ca="1" si="219">$X56*V56</f>
        <v>5514.0313255897363</v>
      </c>
      <c r="Z56" s="128">
        <f t="shared" ca="1" si="219"/>
        <v>0</v>
      </c>
      <c r="AA56" s="128"/>
      <c r="AB56" s="161">
        <f t="shared" ref="AB56:AC56" ca="1" si="220">V56</f>
        <v>10.774129485503751</v>
      </c>
      <c r="AC56" s="161">
        <f t="shared" ca="1" si="220"/>
        <v>0</v>
      </c>
      <c r="AD56" s="128">
        <f t="shared" ca="1" si="10"/>
        <v>511.78439362629621</v>
      </c>
      <c r="AE56" s="128">
        <f t="shared" ref="AE56:AF56" ca="1" si="221">$AD56*AB56</f>
        <v>5514.0313255897363</v>
      </c>
      <c r="AF56" s="128">
        <f t="shared" ca="1" si="221"/>
        <v>0</v>
      </c>
      <c r="AG56" s="128"/>
    </row>
    <row r="57" spans="13:33" ht="13.2">
      <c r="M57" s="20" t="s">
        <v>9</v>
      </c>
      <c r="N57" s="20" t="s">
        <v>373</v>
      </c>
      <c r="O57" s="20" t="s">
        <v>375</v>
      </c>
      <c r="P57" s="46">
        <f t="shared" ref="P57:Q57" ca="1" si="222">(1-$C$5)*V57</f>
        <v>2.5899803198814308</v>
      </c>
      <c r="Q57" s="46">
        <f t="shared" ca="1" si="222"/>
        <v>0</v>
      </c>
      <c r="R57" s="21">
        <f t="shared" si="5"/>
        <v>0</v>
      </c>
      <c r="S57" s="128">
        <f t="shared" ref="S57:T57" ca="1" si="223">$R57*P57</f>
        <v>0</v>
      </c>
      <c r="T57" s="128">
        <f t="shared" ca="1" si="223"/>
        <v>0</v>
      </c>
      <c r="V57" s="75">
        <f ca="1"/>
        <v>2.5899803198814308</v>
      </c>
      <c r="W57" s="75">
        <f ca="1"/>
        <v>0</v>
      </c>
      <c r="X57" s="21">
        <f t="shared" ca="1" si="7"/>
        <v>511.78439362629621</v>
      </c>
      <c r="Y57" s="128">
        <f t="shared" ref="Y57:Z57" ca="1" si="224">$X57*V57</f>
        <v>1325.5115075145588</v>
      </c>
      <c r="Z57" s="128">
        <f t="shared" ca="1" si="224"/>
        <v>0</v>
      </c>
      <c r="AA57" s="128"/>
      <c r="AB57" s="161">
        <f t="shared" ref="AB57:AC57" ca="1" si="225">V57</f>
        <v>2.5899803198814308</v>
      </c>
      <c r="AC57" s="161">
        <f t="shared" ca="1" si="225"/>
        <v>0</v>
      </c>
      <c r="AD57" s="128">
        <f t="shared" ca="1" si="10"/>
        <v>511.78439362629621</v>
      </c>
      <c r="AE57" s="128">
        <f t="shared" ref="AE57:AF57" ca="1" si="226">$AD57*AB57</f>
        <v>1325.5115075145588</v>
      </c>
      <c r="AF57" s="128">
        <f t="shared" ca="1" si="226"/>
        <v>0</v>
      </c>
      <c r="AG57" s="128"/>
    </row>
    <row r="58" spans="13:33" ht="13.2">
      <c r="M58" s="20" t="s">
        <v>9</v>
      </c>
      <c r="N58" s="20" t="s">
        <v>373</v>
      </c>
      <c r="O58" s="20" t="s">
        <v>376</v>
      </c>
      <c r="P58" s="46">
        <f t="shared" ref="P58:Q58" ca="1" si="227">(1-$C$5)*V58</f>
        <v>5.2891703523037137</v>
      </c>
      <c r="Q58" s="46">
        <f t="shared" ca="1" si="227"/>
        <v>0</v>
      </c>
      <c r="R58" s="21">
        <f t="shared" si="5"/>
        <v>0</v>
      </c>
      <c r="S58" s="128">
        <f t="shared" ref="S58:T58" ca="1" si="228">$R58*P58</f>
        <v>0</v>
      </c>
      <c r="T58" s="128">
        <f t="shared" ca="1" si="228"/>
        <v>0</v>
      </c>
      <c r="V58" s="75">
        <f ca="1"/>
        <v>5.2891703523037137</v>
      </c>
      <c r="W58" s="75">
        <f ca="1"/>
        <v>0</v>
      </c>
      <c r="X58" s="21">
        <f t="shared" ca="1" si="7"/>
        <v>511.78439362629621</v>
      </c>
      <c r="Y58" s="128">
        <f t="shared" ref="Y58:Z58" ca="1" si="229">$X58*V58</f>
        <v>2706.9148415399395</v>
      </c>
      <c r="Z58" s="128">
        <f t="shared" ca="1" si="229"/>
        <v>0</v>
      </c>
      <c r="AA58" s="128"/>
      <c r="AB58" s="161">
        <f t="shared" ref="AB58:AC58" ca="1" si="230">V58</f>
        <v>5.2891703523037137</v>
      </c>
      <c r="AC58" s="161">
        <f t="shared" ca="1" si="230"/>
        <v>0</v>
      </c>
      <c r="AD58" s="128">
        <f t="shared" ca="1" si="10"/>
        <v>511.78439362629621</v>
      </c>
      <c r="AE58" s="128">
        <f t="shared" ref="AE58:AF58" ca="1" si="231">$AD58*AB58</f>
        <v>2706.9148415399395</v>
      </c>
      <c r="AF58" s="128">
        <f t="shared" ca="1" si="231"/>
        <v>0</v>
      </c>
      <c r="AG58" s="128"/>
    </row>
    <row r="59" spans="13:33" ht="13.2">
      <c r="M59" s="20" t="s">
        <v>9</v>
      </c>
      <c r="N59" s="20" t="s">
        <v>373</v>
      </c>
      <c r="O59" s="20" t="s">
        <v>377</v>
      </c>
      <c r="P59" s="46">
        <f ca="1">IF($C$6="Yes",((1-$C$4)*W59/$F$4)+V59,(1-$C$4)*V59)</f>
        <v>12.437346157565742</v>
      </c>
      <c r="Q59" s="46">
        <f>IF($C$6="Yes",0,(1-$C$4)*W59)</f>
        <v>0</v>
      </c>
      <c r="R59" s="21">
        <f t="shared" si="5"/>
        <v>0</v>
      </c>
      <c r="S59" s="128">
        <f t="shared" ref="S59:T59" ca="1" si="232">$R59*P59</f>
        <v>0</v>
      </c>
      <c r="T59" s="128">
        <f t="shared" si="232"/>
        <v>0</v>
      </c>
      <c r="V59" s="75">
        <f ca="1"/>
        <v>7.295024573921455</v>
      </c>
      <c r="W59" s="75">
        <f ca="1"/>
        <v>30.853929501865721</v>
      </c>
      <c r="X59" s="21">
        <f t="shared" ca="1" si="7"/>
        <v>511.78439362629621</v>
      </c>
      <c r="Y59" s="128">
        <f t="shared" ref="Y59:Z59" ca="1" si="233">$X59*V59</f>
        <v>3733.4797280533217</v>
      </c>
      <c r="Z59" s="128">
        <f t="shared" ca="1" si="233"/>
        <v>15790.55960110084</v>
      </c>
      <c r="AA59" s="128"/>
      <c r="AB59" s="161">
        <f t="shared" ref="AB59:AC59" ca="1" si="234">V59</f>
        <v>7.295024573921455</v>
      </c>
      <c r="AC59" s="161">
        <f t="shared" ca="1" si="234"/>
        <v>30.853929501865721</v>
      </c>
      <c r="AD59" s="128">
        <f t="shared" ca="1" si="10"/>
        <v>511.78439362629621</v>
      </c>
      <c r="AE59" s="128">
        <f t="shared" ref="AE59:AF59" ca="1" si="235">$AD59*AB59</f>
        <v>3733.4797280533217</v>
      </c>
      <c r="AF59" s="128">
        <f t="shared" ca="1" si="235"/>
        <v>15790.55960110084</v>
      </c>
      <c r="AG59" s="128"/>
    </row>
    <row r="60" spans="13:33" ht="13.2">
      <c r="M60" s="20" t="s">
        <v>9</v>
      </c>
      <c r="N60" s="20" t="s">
        <v>373</v>
      </c>
      <c r="O60" s="20" t="s">
        <v>378</v>
      </c>
      <c r="P60" s="46">
        <f ca="1">IF($C$7="Yes",((1-$C$5)*W60/$F$4)+V60,(1-$C$5)*V60)</f>
        <v>3.7258654363539958</v>
      </c>
      <c r="Q60" s="46">
        <f>IF($C$7="Yes",0,(1-$C$5)*W60)</f>
        <v>0</v>
      </c>
      <c r="R60" s="21">
        <f t="shared" si="5"/>
        <v>0</v>
      </c>
      <c r="S60" s="128">
        <f t="shared" ref="S60:T60" ca="1" si="236">$R60*P60</f>
        <v>0</v>
      </c>
      <c r="T60" s="128">
        <f t="shared" si="236"/>
        <v>0</v>
      </c>
      <c r="V60" s="75">
        <f ca="1"/>
        <v>1.1601512076185401</v>
      </c>
      <c r="W60" s="75">
        <f ca="1"/>
        <v>7.6971426862063677</v>
      </c>
      <c r="X60" s="21">
        <f t="shared" ca="1" si="7"/>
        <v>511.78439362629621</v>
      </c>
      <c r="Y60" s="128">
        <f t="shared" ref="Y60:Z60" ca="1" si="237">$X60*V60</f>
        <v>593.74728230586982</v>
      </c>
      <c r="Z60" s="128">
        <f t="shared" ca="1" si="237"/>
        <v>3939.2775023152067</v>
      </c>
      <c r="AA60" s="128"/>
      <c r="AB60" s="161">
        <f t="shared" ref="AB60:AC60" ca="1" si="238">V60</f>
        <v>1.1601512076185401</v>
      </c>
      <c r="AC60" s="161">
        <f t="shared" ca="1" si="238"/>
        <v>7.6971426862063677</v>
      </c>
      <c r="AD60" s="128">
        <f t="shared" ca="1" si="10"/>
        <v>511.78439362629621</v>
      </c>
      <c r="AE60" s="128">
        <f t="shared" ref="AE60:AF60" ca="1" si="239">$AD60*AB60</f>
        <v>593.74728230586982</v>
      </c>
      <c r="AF60" s="128">
        <f t="shared" ca="1" si="239"/>
        <v>3939.2775023152067</v>
      </c>
      <c r="AG60" s="128"/>
    </row>
    <row r="61" spans="13:33" ht="13.2">
      <c r="M61" s="20" t="s">
        <v>9</v>
      </c>
      <c r="N61" s="20" t="s">
        <v>370</v>
      </c>
      <c r="O61" s="20" t="s">
        <v>369</v>
      </c>
      <c r="P61" s="46">
        <f t="shared" ref="P61:Q61" ca="1" si="240">(1-$C$5)*V61</f>
        <v>3.5212057845319871</v>
      </c>
      <c r="Q61" s="46">
        <f t="shared" ca="1" si="240"/>
        <v>1.1040196696691932E-2</v>
      </c>
      <c r="R61" s="21">
        <f t="shared" si="5"/>
        <v>0</v>
      </c>
      <c r="S61" s="128">
        <f t="shared" ref="S61:T61" ca="1" si="241">$R61*P61</f>
        <v>0</v>
      </c>
      <c r="T61" s="128">
        <f t="shared" ca="1" si="241"/>
        <v>0</v>
      </c>
      <c r="V61" s="75">
        <f ca="1"/>
        <v>3.5212057845319871</v>
      </c>
      <c r="W61" s="75">
        <f ca="1"/>
        <v>1.1040196696691932E-2</v>
      </c>
      <c r="X61" s="21">
        <f t="shared" ca="1" si="7"/>
        <v>10712.637253540106</v>
      </c>
      <c r="Y61" s="128">
        <f t="shared" ref="Y61:Z61" ca="1" si="242">$X61*V61</f>
        <v>37721.400264758282</v>
      </c>
      <c r="Z61" s="128">
        <f t="shared" ca="1" si="242"/>
        <v>118.26962241939241</v>
      </c>
      <c r="AA61" s="128"/>
      <c r="AB61" s="161">
        <f t="shared" ref="AB61:AC61" ca="1" si="243">V61</f>
        <v>3.5212057845319871</v>
      </c>
      <c r="AC61" s="161">
        <f t="shared" ca="1" si="243"/>
        <v>1.1040196696691932E-2</v>
      </c>
      <c r="AD61" s="128">
        <f t="shared" ca="1" si="10"/>
        <v>10712.637253540106</v>
      </c>
      <c r="AE61" s="128">
        <f t="shared" ref="AE61:AF61" ca="1" si="244">$AD61*AB61</f>
        <v>37721.400264758282</v>
      </c>
      <c r="AF61" s="128">
        <f t="shared" ca="1" si="244"/>
        <v>118.26962241939241</v>
      </c>
      <c r="AG61" s="128"/>
    </row>
    <row r="62" spans="13:33" ht="13.2">
      <c r="M62" s="20" t="s">
        <v>9</v>
      </c>
      <c r="N62" s="20" t="s">
        <v>370</v>
      </c>
      <c r="O62" s="20" t="s">
        <v>372</v>
      </c>
      <c r="P62" s="46">
        <f t="shared" ref="P62:Q62" ca="1" si="245">(1-$C$5)*V62</f>
        <v>5.8767861815302194</v>
      </c>
      <c r="Q62" s="46">
        <f t="shared" ca="1" si="245"/>
        <v>0.98310711088355007</v>
      </c>
      <c r="R62" s="21">
        <f t="shared" si="5"/>
        <v>0</v>
      </c>
      <c r="S62" s="128">
        <f t="shared" ref="S62:T62" ca="1" si="246">$R62*P62</f>
        <v>0</v>
      </c>
      <c r="T62" s="128">
        <f t="shared" ca="1" si="246"/>
        <v>0</v>
      </c>
      <c r="V62" s="75">
        <f ca="1"/>
        <v>5.8767861815302194</v>
      </c>
      <c r="W62" s="75">
        <f ca="1"/>
        <v>0.98310711088355007</v>
      </c>
      <c r="X62" s="21">
        <f t="shared" ca="1" si="7"/>
        <v>10712.637253540106</v>
      </c>
      <c r="Y62" s="128">
        <f t="shared" ref="Y62:Z62" ca="1" si="247">$X62*V62</f>
        <v>62955.878579350334</v>
      </c>
      <c r="Z62" s="128">
        <f t="shared" ca="1" si="247"/>
        <v>10531.669860271302</v>
      </c>
      <c r="AA62" s="128"/>
      <c r="AB62" s="161">
        <f t="shared" ref="AB62:AC62" ca="1" si="248">V62</f>
        <v>5.8767861815302194</v>
      </c>
      <c r="AC62" s="161">
        <f t="shared" ca="1" si="248"/>
        <v>0.98310711088355007</v>
      </c>
      <c r="AD62" s="128">
        <f t="shared" ca="1" si="10"/>
        <v>10712.637253540106</v>
      </c>
      <c r="AE62" s="128">
        <f t="shared" ref="AE62:AF62" ca="1" si="249">$AD62*AB62</f>
        <v>62955.878579350334</v>
      </c>
      <c r="AF62" s="128">
        <f t="shared" ca="1" si="249"/>
        <v>10531.669860271302</v>
      </c>
      <c r="AG62" s="128"/>
    </row>
    <row r="63" spans="13:33" ht="13.2">
      <c r="M63" s="20" t="s">
        <v>9</v>
      </c>
      <c r="N63" s="20" t="s">
        <v>370</v>
      </c>
      <c r="O63" s="20" t="s">
        <v>374</v>
      </c>
      <c r="P63" s="46">
        <f t="shared" ref="P63:Q63" ca="1" si="250">(1-$C$5)*V63</f>
        <v>6.5220004446697422</v>
      </c>
      <c r="Q63" s="46">
        <f t="shared" ca="1" si="250"/>
        <v>0</v>
      </c>
      <c r="R63" s="21">
        <f t="shared" si="5"/>
        <v>0</v>
      </c>
      <c r="S63" s="128">
        <f t="shared" ref="S63:T63" ca="1" si="251">$R63*P63</f>
        <v>0</v>
      </c>
      <c r="T63" s="128">
        <f t="shared" ca="1" si="251"/>
        <v>0</v>
      </c>
      <c r="V63" s="75">
        <f ca="1"/>
        <v>6.5220004446697422</v>
      </c>
      <c r="W63" s="75">
        <f ca="1"/>
        <v>0</v>
      </c>
      <c r="X63" s="21">
        <f t="shared" ca="1" si="7"/>
        <v>10712.637253540106</v>
      </c>
      <c r="Y63" s="128">
        <f t="shared" ref="Y63:Z63" ca="1" si="252">$X63*V63</f>
        <v>69867.824931174211</v>
      </c>
      <c r="Z63" s="128">
        <f t="shared" ca="1" si="252"/>
        <v>0</v>
      </c>
      <c r="AA63" s="128"/>
      <c r="AB63" s="161">
        <f t="shared" ref="AB63:AC63" ca="1" si="253">V63</f>
        <v>6.5220004446697422</v>
      </c>
      <c r="AC63" s="161">
        <f t="shared" ca="1" si="253"/>
        <v>0</v>
      </c>
      <c r="AD63" s="128">
        <f t="shared" ca="1" si="10"/>
        <v>10712.637253540106</v>
      </c>
      <c r="AE63" s="128">
        <f t="shared" ref="AE63:AF63" ca="1" si="254">$AD63*AB63</f>
        <v>69867.824931174211</v>
      </c>
      <c r="AF63" s="128">
        <f t="shared" ca="1" si="254"/>
        <v>0</v>
      </c>
      <c r="AG63" s="128"/>
    </row>
    <row r="64" spans="13:33" ht="13.2">
      <c r="M64" s="20" t="s">
        <v>9</v>
      </c>
      <c r="N64" s="20" t="s">
        <v>370</v>
      </c>
      <c r="O64" s="20" t="s">
        <v>375</v>
      </c>
      <c r="P64" s="46">
        <f t="shared" ref="P64:Q64" ca="1" si="255">(1-$C$5)*V64</f>
        <v>2.3115765377707342</v>
      </c>
      <c r="Q64" s="46">
        <f t="shared" ca="1" si="255"/>
        <v>0</v>
      </c>
      <c r="R64" s="21">
        <f t="shared" si="5"/>
        <v>0</v>
      </c>
      <c r="S64" s="128">
        <f t="shared" ref="S64:T64" ca="1" si="256">$R64*P64</f>
        <v>0</v>
      </c>
      <c r="T64" s="128">
        <f t="shared" ca="1" si="256"/>
        <v>0</v>
      </c>
      <c r="V64" s="75">
        <f ca="1"/>
        <v>2.3115765377707342</v>
      </c>
      <c r="W64" s="75">
        <f ca="1"/>
        <v>0</v>
      </c>
      <c r="X64" s="21">
        <f t="shared" ca="1" si="7"/>
        <v>10712.637253540106</v>
      </c>
      <c r="Y64" s="128">
        <f t="shared" ref="Y64:Z64" ca="1" si="257">$X64*V64</f>
        <v>24763.080932932025</v>
      </c>
      <c r="Z64" s="128">
        <f t="shared" ca="1" si="257"/>
        <v>0</v>
      </c>
      <c r="AA64" s="128"/>
      <c r="AB64" s="161">
        <f t="shared" ref="AB64:AC64" ca="1" si="258">V64</f>
        <v>2.3115765377707342</v>
      </c>
      <c r="AC64" s="161">
        <f t="shared" ca="1" si="258"/>
        <v>0</v>
      </c>
      <c r="AD64" s="128">
        <f t="shared" ca="1" si="10"/>
        <v>10712.637253540106</v>
      </c>
      <c r="AE64" s="128">
        <f t="shared" ref="AE64:AF64" ca="1" si="259">$AD64*AB64</f>
        <v>24763.080932932025</v>
      </c>
      <c r="AF64" s="128">
        <f t="shared" ca="1" si="259"/>
        <v>0</v>
      </c>
      <c r="AG64" s="128"/>
    </row>
    <row r="65" spans="13:33" ht="13.2">
      <c r="M65" s="20" t="s">
        <v>9</v>
      </c>
      <c r="N65" s="20" t="s">
        <v>370</v>
      </c>
      <c r="O65" s="20" t="s">
        <v>376</v>
      </c>
      <c r="P65" s="46">
        <f t="shared" ref="P65:Q65" ca="1" si="260">(1-$C$5)*V65</f>
        <v>4.3160726271486727</v>
      </c>
      <c r="Q65" s="46">
        <f t="shared" ca="1" si="260"/>
        <v>0</v>
      </c>
      <c r="R65" s="21">
        <f t="shared" si="5"/>
        <v>0</v>
      </c>
      <c r="S65" s="128">
        <f t="shared" ref="S65:T65" ca="1" si="261">$R65*P65</f>
        <v>0</v>
      </c>
      <c r="T65" s="128">
        <f t="shared" ca="1" si="261"/>
        <v>0</v>
      </c>
      <c r="V65" s="75">
        <f ca="1"/>
        <v>4.3160726271486727</v>
      </c>
      <c r="W65" s="75">
        <f ca="1"/>
        <v>0</v>
      </c>
      <c r="X65" s="21">
        <f t="shared" ca="1" si="7"/>
        <v>10712.637253540106</v>
      </c>
      <c r="Y65" s="128">
        <f t="shared" ref="Y65:Z65" ca="1" si="262">$X65*V65</f>
        <v>46236.520414577586</v>
      </c>
      <c r="Z65" s="128">
        <f t="shared" ca="1" si="262"/>
        <v>0</v>
      </c>
      <c r="AA65" s="128"/>
      <c r="AB65" s="161">
        <f t="shared" ref="AB65:AC65" ca="1" si="263">V65</f>
        <v>4.3160726271486727</v>
      </c>
      <c r="AC65" s="161">
        <f t="shared" ca="1" si="263"/>
        <v>0</v>
      </c>
      <c r="AD65" s="128">
        <f t="shared" ca="1" si="10"/>
        <v>10712.637253540106</v>
      </c>
      <c r="AE65" s="128">
        <f t="shared" ref="AE65:AF65" ca="1" si="264">$AD65*AB65</f>
        <v>46236.520414577586</v>
      </c>
      <c r="AF65" s="128">
        <f t="shared" ca="1" si="264"/>
        <v>0</v>
      </c>
      <c r="AG65" s="128"/>
    </row>
    <row r="66" spans="13:33" ht="13.2">
      <c r="M66" s="20" t="s">
        <v>9</v>
      </c>
      <c r="N66" s="20" t="s">
        <v>370</v>
      </c>
      <c r="O66" s="20" t="s">
        <v>377</v>
      </c>
      <c r="P66" s="46">
        <f ca="1">IF($C$6="Yes",((1-$C$4)*W66/$F$4)+V66,(1-$C$4)*V66)</f>
        <v>19.285145331606873</v>
      </c>
      <c r="Q66" s="46">
        <f>IF($C$6="Yes",0,(1-$C$4)*W66)</f>
        <v>0</v>
      </c>
      <c r="R66" s="21">
        <f t="shared" si="5"/>
        <v>0</v>
      </c>
      <c r="S66" s="128">
        <f t="shared" ref="S66:T66" ca="1" si="265">$R66*P66</f>
        <v>0</v>
      </c>
      <c r="T66" s="128">
        <f t="shared" si="265"/>
        <v>0</v>
      </c>
      <c r="V66" s="75">
        <f ca="1"/>
        <v>13.745483952486024</v>
      </c>
      <c r="W66" s="75">
        <f ca="1"/>
        <v>33.237968274725098</v>
      </c>
      <c r="X66" s="21">
        <f t="shared" ca="1" si="7"/>
        <v>10712.637253540106</v>
      </c>
      <c r="Y66" s="128">
        <f t="shared" ref="Y66:Z66" ca="1" si="266">$X66*V66</f>
        <v>147250.38345733949</v>
      </c>
      <c r="Z66" s="128">
        <f t="shared" ca="1" si="266"/>
        <v>356066.29717180424</v>
      </c>
      <c r="AA66" s="128"/>
      <c r="AB66" s="161">
        <f t="shared" ref="AB66:AC66" ca="1" si="267">V66</f>
        <v>13.745483952486024</v>
      </c>
      <c r="AC66" s="161">
        <f t="shared" ca="1" si="267"/>
        <v>33.237968274725098</v>
      </c>
      <c r="AD66" s="128">
        <f t="shared" ca="1" si="10"/>
        <v>10712.637253540106</v>
      </c>
      <c r="AE66" s="128">
        <f t="shared" ref="AE66:AF66" ca="1" si="268">$AD66*AB66</f>
        <v>147250.38345733949</v>
      </c>
      <c r="AF66" s="128">
        <f t="shared" ca="1" si="268"/>
        <v>356066.29717180424</v>
      </c>
      <c r="AG66" s="128"/>
    </row>
    <row r="67" spans="13:33" ht="13.2">
      <c r="M67" s="20" t="s">
        <v>9</v>
      </c>
      <c r="N67" s="20" t="s">
        <v>370</v>
      </c>
      <c r="O67" s="20" t="s">
        <v>378</v>
      </c>
      <c r="P67" s="46">
        <f ca="1">IF($C$7="Yes",((1-$C$5)*W67/$F$4)+V67,(1-$C$5)*V67)</f>
        <v>4.6141269727938763</v>
      </c>
      <c r="Q67" s="46">
        <f>IF($C$7="Yes",0,(1-$C$5)*W67)</f>
        <v>0</v>
      </c>
      <c r="R67" s="21">
        <f t="shared" si="5"/>
        <v>0</v>
      </c>
      <c r="S67" s="128">
        <f t="shared" ref="S67:T67" ca="1" si="269">$R67*P67</f>
        <v>0</v>
      </c>
      <c r="T67" s="128">
        <f t="shared" si="269"/>
        <v>0</v>
      </c>
      <c r="V67" s="75">
        <f ca="1"/>
        <v>2.9509771106353511</v>
      </c>
      <c r="W67" s="75">
        <f ca="1"/>
        <v>4.9894495864755752</v>
      </c>
      <c r="X67" s="21">
        <f t="shared" ca="1" si="7"/>
        <v>10712.637253540106</v>
      </c>
      <c r="Y67" s="128">
        <f t="shared" ref="Y67:Z67" ca="1" si="270">$X67*V67</f>
        <v>31612.747329736405</v>
      </c>
      <c r="Z67" s="128">
        <f t="shared" ca="1" si="270"/>
        <v>53450.163514738524</v>
      </c>
      <c r="AA67" s="128"/>
      <c r="AB67" s="161">
        <f t="shared" ref="AB67:AC67" ca="1" si="271">V67</f>
        <v>2.9509771106353511</v>
      </c>
      <c r="AC67" s="161">
        <f t="shared" ca="1" si="271"/>
        <v>4.9894495864755752</v>
      </c>
      <c r="AD67" s="128">
        <f t="shared" ca="1" si="10"/>
        <v>10712.637253540106</v>
      </c>
      <c r="AE67" s="128">
        <f t="shared" ref="AE67:AF67" ca="1" si="272">$AD67*AB67</f>
        <v>31612.747329736405</v>
      </c>
      <c r="AF67" s="128">
        <f t="shared" ca="1" si="272"/>
        <v>53450.163514738524</v>
      </c>
      <c r="AG67" s="128"/>
    </row>
    <row r="68" spans="13:33" ht="13.2">
      <c r="M68" s="20" t="s">
        <v>10</v>
      </c>
      <c r="N68" s="20" t="s">
        <v>366</v>
      </c>
      <c r="O68" s="20" t="s">
        <v>369</v>
      </c>
      <c r="P68" s="46">
        <f t="shared" ref="P68:Q68" ca="1" si="273">(1-$C$5)*V68</f>
        <v>1.9954441974219896</v>
      </c>
      <c r="Q68" s="46">
        <f t="shared" ca="1" si="273"/>
        <v>0</v>
      </c>
      <c r="R68" s="21">
        <f t="shared" si="5"/>
        <v>0</v>
      </c>
      <c r="S68" s="128">
        <f t="shared" ref="S68:T68" ca="1" si="274">$R68*P68</f>
        <v>0</v>
      </c>
      <c r="T68" s="128">
        <f t="shared" ca="1" si="274"/>
        <v>0</v>
      </c>
      <c r="V68" s="75">
        <f ca="1"/>
        <v>1.9954441974219896</v>
      </c>
      <c r="W68" s="75">
        <f ca="1"/>
        <v>0</v>
      </c>
      <c r="X68" s="21">
        <f t="shared" ca="1" si="7"/>
        <v>1024.7299543396625</v>
      </c>
      <c r="Y68" s="128">
        <f t="shared" ref="Y68:Z68" ca="1" si="275">$X68*V68</f>
        <v>2044.79144131158</v>
      </c>
      <c r="Z68" s="128">
        <f t="shared" ca="1" si="275"/>
        <v>0</v>
      </c>
      <c r="AA68" s="128"/>
      <c r="AB68" s="161">
        <f t="shared" ref="AB68:AC68" ca="1" si="276">V68</f>
        <v>1.9954441974219896</v>
      </c>
      <c r="AC68" s="161">
        <f t="shared" ca="1" si="276"/>
        <v>0</v>
      </c>
      <c r="AD68" s="128">
        <f t="shared" ca="1" si="10"/>
        <v>1024.7299543396625</v>
      </c>
      <c r="AE68" s="128">
        <f t="shared" ref="AE68:AF68" ca="1" si="277">$AD68*AB68</f>
        <v>2044.79144131158</v>
      </c>
      <c r="AF68" s="128">
        <f t="shared" ca="1" si="277"/>
        <v>0</v>
      </c>
      <c r="AG68" s="128"/>
    </row>
    <row r="69" spans="13:33" ht="13.2">
      <c r="M69" s="20" t="s">
        <v>10</v>
      </c>
      <c r="N69" s="20" t="s">
        <v>366</v>
      </c>
      <c r="O69" s="20" t="s">
        <v>372</v>
      </c>
      <c r="P69" s="46">
        <f t="shared" ref="P69:Q69" ca="1" si="278">(1-$C$5)*V69</f>
        <v>3.890178230645247</v>
      </c>
      <c r="Q69" s="46">
        <f t="shared" ca="1" si="278"/>
        <v>0.61155041500401652</v>
      </c>
      <c r="R69" s="21">
        <f t="shared" si="5"/>
        <v>0</v>
      </c>
      <c r="S69" s="128">
        <f t="shared" ref="S69:T69" ca="1" si="279">$R69*P69</f>
        <v>0</v>
      </c>
      <c r="T69" s="128">
        <f t="shared" ca="1" si="279"/>
        <v>0</v>
      </c>
      <c r="V69" s="75">
        <f ca="1"/>
        <v>3.890178230645247</v>
      </c>
      <c r="W69" s="75">
        <f ca="1"/>
        <v>0.61155041500401652</v>
      </c>
      <c r="X69" s="21">
        <f t="shared" ca="1" si="7"/>
        <v>1024.7299543396625</v>
      </c>
      <c r="Y69" s="128">
        <f t="shared" ref="Y69:Z69" ca="1" si="280">$X69*V69</f>
        <v>3986.3821606622532</v>
      </c>
      <c r="Z69" s="128">
        <f t="shared" ca="1" si="280"/>
        <v>626.67402884346757</v>
      </c>
      <c r="AA69" s="128"/>
      <c r="AB69" s="161">
        <f t="shared" ref="AB69:AC69" ca="1" si="281">V69</f>
        <v>3.890178230645247</v>
      </c>
      <c r="AC69" s="161">
        <f t="shared" ca="1" si="281"/>
        <v>0.61155041500401652</v>
      </c>
      <c r="AD69" s="128">
        <f t="shared" ca="1" si="10"/>
        <v>1024.7299543396625</v>
      </c>
      <c r="AE69" s="128">
        <f t="shared" ref="AE69:AF69" ca="1" si="282">$AD69*AB69</f>
        <v>3986.3821606622532</v>
      </c>
      <c r="AF69" s="128">
        <f t="shared" ca="1" si="282"/>
        <v>626.67402884346757</v>
      </c>
      <c r="AG69" s="128"/>
    </row>
    <row r="70" spans="13:33" ht="13.2">
      <c r="M70" s="20" t="s">
        <v>10</v>
      </c>
      <c r="N70" s="20" t="s">
        <v>366</v>
      </c>
      <c r="O70" s="20" t="s">
        <v>374</v>
      </c>
      <c r="P70" s="46">
        <f t="shared" ref="P70:Q70" ca="1" si="283">(1-$C$5)*V70</f>
        <v>6.0747588837814321</v>
      </c>
      <c r="Q70" s="46">
        <f t="shared" ca="1" si="283"/>
        <v>0</v>
      </c>
      <c r="R70" s="21">
        <f t="shared" si="5"/>
        <v>0</v>
      </c>
      <c r="S70" s="128">
        <f t="shared" ref="S70:T70" ca="1" si="284">$R70*P70</f>
        <v>0</v>
      </c>
      <c r="T70" s="128">
        <f t="shared" ca="1" si="284"/>
        <v>0</v>
      </c>
      <c r="V70" s="75">
        <f ca="1"/>
        <v>6.0747588837814321</v>
      </c>
      <c r="W70" s="75">
        <f ca="1"/>
        <v>0</v>
      </c>
      <c r="X70" s="21">
        <f t="shared" ca="1" si="7"/>
        <v>1024.7299543396625</v>
      </c>
      <c r="Y70" s="128">
        <f t="shared" ref="Y70:Z70" ca="1" si="285">$X70*V70</f>
        <v>6224.9873936018066</v>
      </c>
      <c r="Z70" s="128">
        <f t="shared" ca="1" si="285"/>
        <v>0</v>
      </c>
      <c r="AA70" s="128"/>
      <c r="AB70" s="161">
        <f t="shared" ref="AB70:AC70" ca="1" si="286">V70</f>
        <v>6.0747588837814321</v>
      </c>
      <c r="AC70" s="161">
        <f t="shared" ca="1" si="286"/>
        <v>0</v>
      </c>
      <c r="AD70" s="128">
        <f t="shared" ca="1" si="10"/>
        <v>1024.7299543396625</v>
      </c>
      <c r="AE70" s="128">
        <f t="shared" ref="AE70:AF70" ca="1" si="287">$AD70*AB70</f>
        <v>6224.9873936018066</v>
      </c>
      <c r="AF70" s="128">
        <f t="shared" ca="1" si="287"/>
        <v>0</v>
      </c>
      <c r="AG70" s="128"/>
    </row>
    <row r="71" spans="13:33" ht="13.2">
      <c r="M71" s="20" t="s">
        <v>10</v>
      </c>
      <c r="N71" s="20" t="s">
        <v>366</v>
      </c>
      <c r="O71" s="20" t="s">
        <v>375</v>
      </c>
      <c r="P71" s="46">
        <f t="shared" ref="P71:Q71" ca="1" si="288">(1-$C$5)*V71</f>
        <v>2.368526154388229</v>
      </c>
      <c r="Q71" s="46">
        <f t="shared" ca="1" si="288"/>
        <v>0</v>
      </c>
      <c r="R71" s="21">
        <f t="shared" si="5"/>
        <v>0</v>
      </c>
      <c r="S71" s="128">
        <f t="shared" ref="S71:T71" ca="1" si="289">$R71*P71</f>
        <v>0</v>
      </c>
      <c r="T71" s="128">
        <f t="shared" ca="1" si="289"/>
        <v>0</v>
      </c>
      <c r="V71" s="75">
        <f ca="1"/>
        <v>2.368526154388229</v>
      </c>
      <c r="W71" s="75">
        <f ca="1"/>
        <v>0</v>
      </c>
      <c r="X71" s="21">
        <f t="shared" ca="1" si="7"/>
        <v>1024.7299543396625</v>
      </c>
      <c r="Y71" s="128">
        <f t="shared" ref="Y71:Z71" ca="1" si="290">$X71*V71</f>
        <v>2427.0996980385462</v>
      </c>
      <c r="Z71" s="128">
        <f t="shared" ca="1" si="290"/>
        <v>0</v>
      </c>
      <c r="AA71" s="128"/>
      <c r="AB71" s="161">
        <f t="shared" ref="AB71:AC71" ca="1" si="291">V71</f>
        <v>2.368526154388229</v>
      </c>
      <c r="AC71" s="161">
        <f t="shared" ca="1" si="291"/>
        <v>0</v>
      </c>
      <c r="AD71" s="128">
        <f t="shared" ca="1" si="10"/>
        <v>1024.7299543396625</v>
      </c>
      <c r="AE71" s="128">
        <f t="shared" ref="AE71:AF71" ca="1" si="292">$AD71*AB71</f>
        <v>2427.0996980385462</v>
      </c>
      <c r="AF71" s="128">
        <f t="shared" ca="1" si="292"/>
        <v>0</v>
      </c>
      <c r="AG71" s="128"/>
    </row>
    <row r="72" spans="13:33" ht="13.2">
      <c r="M72" s="20" t="s">
        <v>10</v>
      </c>
      <c r="N72" s="20" t="s">
        <v>366</v>
      </c>
      <c r="O72" s="20" t="s">
        <v>376</v>
      </c>
      <c r="P72" s="46">
        <f t="shared" ref="P72:Q72" ca="1" si="293">(1-$C$5)*V72</f>
        <v>4.353286492760744</v>
      </c>
      <c r="Q72" s="46">
        <f t="shared" ca="1" si="293"/>
        <v>0</v>
      </c>
      <c r="R72" s="21">
        <f t="shared" si="5"/>
        <v>0</v>
      </c>
      <c r="S72" s="128">
        <f t="shared" ref="S72:T72" ca="1" si="294">$R72*P72</f>
        <v>0</v>
      </c>
      <c r="T72" s="128">
        <f t="shared" ca="1" si="294"/>
        <v>0</v>
      </c>
      <c r="V72" s="75">
        <f ca="1"/>
        <v>4.353286492760744</v>
      </c>
      <c r="W72" s="75">
        <f ca="1"/>
        <v>0</v>
      </c>
      <c r="X72" s="21">
        <f t="shared" ca="1" si="7"/>
        <v>1024.7299543396625</v>
      </c>
      <c r="Y72" s="128">
        <f t="shared" ref="Y72:Z72" ca="1" si="295">$X72*V72</f>
        <v>4460.9430689541869</v>
      </c>
      <c r="Z72" s="128">
        <f t="shared" ca="1" si="295"/>
        <v>0</v>
      </c>
      <c r="AA72" s="128"/>
      <c r="AB72" s="161">
        <f t="shared" ref="AB72:AC72" ca="1" si="296">V72</f>
        <v>4.353286492760744</v>
      </c>
      <c r="AC72" s="161">
        <f t="shared" ca="1" si="296"/>
        <v>0</v>
      </c>
      <c r="AD72" s="128">
        <f t="shared" ca="1" si="10"/>
        <v>1024.7299543396625</v>
      </c>
      <c r="AE72" s="128">
        <f t="shared" ref="AE72:AF72" ca="1" si="297">$AD72*AB72</f>
        <v>4460.9430689541869</v>
      </c>
      <c r="AF72" s="128">
        <f t="shared" ca="1" si="297"/>
        <v>0</v>
      </c>
      <c r="AG72" s="128"/>
    </row>
    <row r="73" spans="13:33" ht="13.2">
      <c r="M73" s="20" t="s">
        <v>10</v>
      </c>
      <c r="N73" s="20" t="s">
        <v>366</v>
      </c>
      <c r="O73" s="20" t="s">
        <v>377</v>
      </c>
      <c r="P73" s="46">
        <f ca="1">IF($C$6="Yes",((1-$C$4)*W73/$F$4)+V73,(1-$C$4)*V73)</f>
        <v>21.388614424263327</v>
      </c>
      <c r="Q73" s="46">
        <f>IF($C$6="Yes",0,(1-$C$4)*W73)</f>
        <v>0</v>
      </c>
      <c r="R73" s="21">
        <f t="shared" si="5"/>
        <v>0</v>
      </c>
      <c r="S73" s="128">
        <f t="shared" ref="S73:T73" ca="1" si="298">$R73*P73</f>
        <v>0</v>
      </c>
      <c r="T73" s="128">
        <f t="shared" si="298"/>
        <v>0</v>
      </c>
      <c r="V73" s="75">
        <f ca="1"/>
        <v>14.192095270702691</v>
      </c>
      <c r="W73" s="75">
        <f ca="1"/>
        <v>43.179114921363826</v>
      </c>
      <c r="X73" s="21">
        <f t="shared" ca="1" si="7"/>
        <v>1024.7299543396625</v>
      </c>
      <c r="Y73" s="128">
        <f t="shared" ref="Y73:Z73" ca="1" si="299">$X73*V73</f>
        <v>14543.065138731308</v>
      </c>
      <c r="Z73" s="128">
        <f t="shared" ca="1" si="299"/>
        <v>44246.932461796197</v>
      </c>
      <c r="AA73" s="128"/>
      <c r="AB73" s="161">
        <f t="shared" ref="AB73:AC73" ca="1" si="300">V73</f>
        <v>14.192095270702691</v>
      </c>
      <c r="AC73" s="161">
        <f t="shared" ca="1" si="300"/>
        <v>43.179114921363826</v>
      </c>
      <c r="AD73" s="128">
        <f t="shared" ca="1" si="10"/>
        <v>1024.7299543396625</v>
      </c>
      <c r="AE73" s="128">
        <f t="shared" ref="AE73:AF73" ca="1" si="301">$AD73*AB73</f>
        <v>14543.065138731308</v>
      </c>
      <c r="AF73" s="128">
        <f t="shared" ca="1" si="301"/>
        <v>44246.932461796197</v>
      </c>
      <c r="AG73" s="128"/>
    </row>
    <row r="74" spans="13:33" ht="13.2">
      <c r="M74" s="20" t="s">
        <v>10</v>
      </c>
      <c r="N74" s="20" t="s">
        <v>366</v>
      </c>
      <c r="O74" s="20" t="s">
        <v>378</v>
      </c>
      <c r="P74" s="46">
        <f ca="1">IF($C$7="Yes",((1-$C$5)*W74/$F$4)+V74,(1-$C$5)*V74)</f>
        <v>4.6657660446104483</v>
      </c>
      <c r="Q74" s="46">
        <f>IF($C$7="Yes",0,(1-$C$5)*W74)</f>
        <v>0</v>
      </c>
      <c r="R74" s="21">
        <f t="shared" si="5"/>
        <v>0</v>
      </c>
      <c r="S74" s="128">
        <f t="shared" ref="S74:T74" ca="1" si="302">$R74*P74</f>
        <v>0</v>
      </c>
      <c r="T74" s="128">
        <f t="shared" si="302"/>
        <v>0</v>
      </c>
      <c r="V74" s="75">
        <f ca="1"/>
        <v>2.4761572967802787</v>
      </c>
      <c r="W74" s="75">
        <f ca="1"/>
        <v>6.5688262434905091</v>
      </c>
      <c r="X74" s="21">
        <f t="shared" ca="1" si="7"/>
        <v>1024.7299543396625</v>
      </c>
      <c r="Y74" s="128">
        <f t="shared" ref="Y74:Z74" ca="1" si="303">$X74*V74</f>
        <v>2537.3925536674774</v>
      </c>
      <c r="Z74" s="128">
        <f t="shared" ca="1" si="303"/>
        <v>6731.2730165572066</v>
      </c>
      <c r="AA74" s="128"/>
      <c r="AB74" s="161">
        <f t="shared" ref="AB74:AC74" ca="1" si="304">V74</f>
        <v>2.4761572967802787</v>
      </c>
      <c r="AC74" s="161">
        <f t="shared" ca="1" si="304"/>
        <v>6.5688262434905091</v>
      </c>
      <c r="AD74" s="128">
        <f t="shared" ca="1" si="10"/>
        <v>1024.7299543396625</v>
      </c>
      <c r="AE74" s="128">
        <f t="shared" ref="AE74:AF74" ca="1" si="305">$AD74*AB74</f>
        <v>2537.3925536674774</v>
      </c>
      <c r="AF74" s="128">
        <f t="shared" ca="1" si="305"/>
        <v>6731.2730165572066</v>
      </c>
      <c r="AG74" s="128"/>
    </row>
    <row r="75" spans="13:33" ht="13.2">
      <c r="M75" s="20" t="s">
        <v>10</v>
      </c>
      <c r="N75" s="20" t="s">
        <v>371</v>
      </c>
      <c r="O75" s="20" t="s">
        <v>369</v>
      </c>
      <c r="P75" s="46">
        <f t="shared" ref="P75:Q75" ca="1" si="306">(1-$C$5)*V75</f>
        <v>2.9248413009060599</v>
      </c>
      <c r="Q75" s="46">
        <f t="shared" ca="1" si="306"/>
        <v>2.7873940655262393E-2</v>
      </c>
      <c r="R75" s="21">
        <f t="shared" si="5"/>
        <v>0</v>
      </c>
      <c r="S75" s="128">
        <f t="shared" ref="S75:T75" ca="1" si="307">$R75*P75</f>
        <v>0</v>
      </c>
      <c r="T75" s="128">
        <f t="shared" ca="1" si="307"/>
        <v>0</v>
      </c>
      <c r="V75" s="75">
        <f ca="1"/>
        <v>2.9248413009060599</v>
      </c>
      <c r="W75" s="75">
        <f ca="1"/>
        <v>2.7873940655262393E-2</v>
      </c>
      <c r="X75" s="21">
        <f t="shared" ca="1" si="7"/>
        <v>17692.412613920518</v>
      </c>
      <c r="Y75" s="128">
        <f t="shared" ref="Y75:Z75" ca="1" si="308">$X75*V75</f>
        <v>51747.499125866074</v>
      </c>
      <c r="Z75" s="128">
        <f t="shared" ca="1" si="308"/>
        <v>493.15725924883634</v>
      </c>
      <c r="AA75" s="128"/>
      <c r="AB75" s="161">
        <f t="shared" ref="AB75:AC75" ca="1" si="309">V75</f>
        <v>2.9248413009060599</v>
      </c>
      <c r="AC75" s="161">
        <f t="shared" ca="1" si="309"/>
        <v>2.7873940655262393E-2</v>
      </c>
      <c r="AD75" s="128">
        <f t="shared" ca="1" si="10"/>
        <v>17692.412613920518</v>
      </c>
      <c r="AE75" s="128">
        <f t="shared" ref="AE75:AF75" ca="1" si="310">$AD75*AB75</f>
        <v>51747.499125866074</v>
      </c>
      <c r="AF75" s="128">
        <f t="shared" ca="1" si="310"/>
        <v>493.15725924883634</v>
      </c>
      <c r="AG75" s="128"/>
    </row>
    <row r="76" spans="13:33" ht="13.2">
      <c r="M76" s="20" t="s">
        <v>10</v>
      </c>
      <c r="N76" s="20" t="s">
        <v>371</v>
      </c>
      <c r="O76" s="20" t="s">
        <v>372</v>
      </c>
      <c r="P76" s="46">
        <f t="shared" ref="P76:Q76" ca="1" si="311">(1-$C$5)*V76</f>
        <v>3.9795558467037027</v>
      </c>
      <c r="Q76" s="46">
        <f t="shared" ca="1" si="311"/>
        <v>1.0109962256509577</v>
      </c>
      <c r="R76" s="21">
        <f t="shared" si="5"/>
        <v>0</v>
      </c>
      <c r="S76" s="128">
        <f t="shared" ref="S76:T76" ca="1" si="312">$R76*P76</f>
        <v>0</v>
      </c>
      <c r="T76" s="128">
        <f t="shared" ca="1" si="312"/>
        <v>0</v>
      </c>
      <c r="V76" s="75">
        <f ca="1"/>
        <v>3.9795558467037027</v>
      </c>
      <c r="W76" s="75">
        <f ca="1"/>
        <v>1.0109962256509577</v>
      </c>
      <c r="X76" s="21">
        <f t="shared" ca="1" si="7"/>
        <v>17692.412613920518</v>
      </c>
      <c r="Y76" s="128">
        <f t="shared" ref="Y76:Z76" ca="1" si="313">$X76*V76</f>
        <v>70407.944060021735</v>
      </c>
      <c r="Z76" s="128">
        <f t="shared" ca="1" si="313"/>
        <v>17886.962375333038</v>
      </c>
      <c r="AA76" s="128"/>
      <c r="AB76" s="161">
        <f t="shared" ref="AB76:AC76" ca="1" si="314">V76</f>
        <v>3.9795558467037027</v>
      </c>
      <c r="AC76" s="161">
        <f t="shared" ca="1" si="314"/>
        <v>1.0109962256509577</v>
      </c>
      <c r="AD76" s="128">
        <f t="shared" ca="1" si="10"/>
        <v>17692.412613920518</v>
      </c>
      <c r="AE76" s="128">
        <f t="shared" ref="AE76:AF76" ca="1" si="315">$AD76*AB76</f>
        <v>70407.944060021735</v>
      </c>
      <c r="AF76" s="128">
        <f t="shared" ca="1" si="315"/>
        <v>17886.962375333038</v>
      </c>
      <c r="AG76" s="128"/>
    </row>
    <row r="77" spans="13:33" ht="13.2">
      <c r="M77" s="20" t="s">
        <v>10</v>
      </c>
      <c r="N77" s="20" t="s">
        <v>371</v>
      </c>
      <c r="O77" s="20" t="s">
        <v>374</v>
      </c>
      <c r="P77" s="46">
        <f t="shared" ref="P77:Q77" ca="1" si="316">(1-$C$5)*V77</f>
        <v>5.2253116140792777</v>
      </c>
      <c r="Q77" s="46">
        <f t="shared" ca="1" si="316"/>
        <v>0</v>
      </c>
      <c r="R77" s="21">
        <f t="shared" si="5"/>
        <v>0</v>
      </c>
      <c r="S77" s="128">
        <f t="shared" ref="S77:T77" ca="1" si="317">$R77*P77</f>
        <v>0</v>
      </c>
      <c r="T77" s="128">
        <f t="shared" ca="1" si="317"/>
        <v>0</v>
      </c>
      <c r="V77" s="75">
        <f ca="1"/>
        <v>5.2253116140792777</v>
      </c>
      <c r="W77" s="75">
        <f ca="1"/>
        <v>0</v>
      </c>
      <c r="X77" s="21">
        <f t="shared" ca="1" si="7"/>
        <v>17692.412613920518</v>
      </c>
      <c r="Y77" s="128">
        <f t="shared" ref="Y77:Z77" ca="1" si="318">$X77*V77</f>
        <v>92448.369112601591</v>
      </c>
      <c r="Z77" s="128">
        <f t="shared" ca="1" si="318"/>
        <v>0</v>
      </c>
      <c r="AA77" s="128"/>
      <c r="AB77" s="161">
        <f t="shared" ref="AB77:AC77" ca="1" si="319">V77</f>
        <v>5.2253116140792777</v>
      </c>
      <c r="AC77" s="161">
        <f t="shared" ca="1" si="319"/>
        <v>0</v>
      </c>
      <c r="AD77" s="128">
        <f t="shared" ca="1" si="10"/>
        <v>17692.412613920518</v>
      </c>
      <c r="AE77" s="128">
        <f t="shared" ref="AE77:AF77" ca="1" si="320">$AD77*AB77</f>
        <v>92448.369112601591</v>
      </c>
      <c r="AF77" s="128">
        <f t="shared" ca="1" si="320"/>
        <v>0</v>
      </c>
      <c r="AG77" s="128"/>
    </row>
    <row r="78" spans="13:33" ht="13.2">
      <c r="M78" s="20" t="s">
        <v>10</v>
      </c>
      <c r="N78" s="20" t="s">
        <v>371</v>
      </c>
      <c r="O78" s="20" t="s">
        <v>375</v>
      </c>
      <c r="P78" s="46">
        <f t="shared" ref="P78:Q78" ca="1" si="321">(1-$C$5)*V78</f>
        <v>1.0708653705056941</v>
      </c>
      <c r="Q78" s="46">
        <f t="shared" ca="1" si="321"/>
        <v>0</v>
      </c>
      <c r="R78" s="21">
        <f t="shared" si="5"/>
        <v>0</v>
      </c>
      <c r="S78" s="128">
        <f t="shared" ref="S78:T78" ca="1" si="322">$R78*P78</f>
        <v>0</v>
      </c>
      <c r="T78" s="128">
        <f t="shared" ca="1" si="322"/>
        <v>0</v>
      </c>
      <c r="V78" s="75">
        <f ca="1"/>
        <v>1.0708653705056941</v>
      </c>
      <c r="W78" s="75">
        <f ca="1"/>
        <v>0</v>
      </c>
      <c r="X78" s="21">
        <f t="shared" ca="1" si="7"/>
        <v>17692.412613920518</v>
      </c>
      <c r="Y78" s="128">
        <f t="shared" ref="Y78:Z78" ca="1" si="323">$X78*V78</f>
        <v>18946.191988945611</v>
      </c>
      <c r="Z78" s="128">
        <f t="shared" ca="1" si="323"/>
        <v>0</v>
      </c>
      <c r="AA78" s="128"/>
      <c r="AB78" s="161">
        <f t="shared" ref="AB78:AC78" ca="1" si="324">V78</f>
        <v>1.0708653705056941</v>
      </c>
      <c r="AC78" s="161">
        <f t="shared" ca="1" si="324"/>
        <v>0</v>
      </c>
      <c r="AD78" s="128">
        <f t="shared" ca="1" si="10"/>
        <v>17692.412613920518</v>
      </c>
      <c r="AE78" s="128">
        <f t="shared" ref="AE78:AF78" ca="1" si="325">$AD78*AB78</f>
        <v>18946.191988945611</v>
      </c>
      <c r="AF78" s="128">
        <f t="shared" ca="1" si="325"/>
        <v>0</v>
      </c>
      <c r="AG78" s="128"/>
    </row>
    <row r="79" spans="13:33" ht="13.2">
      <c r="M79" s="20" t="s">
        <v>10</v>
      </c>
      <c r="N79" s="20" t="s">
        <v>371</v>
      </c>
      <c r="O79" s="20" t="s">
        <v>376</v>
      </c>
      <c r="P79" s="46">
        <f t="shared" ref="P79:Q79" ca="1" si="326">(1-$C$5)*V79</f>
        <v>3.509091427654988</v>
      </c>
      <c r="Q79" s="46">
        <f t="shared" ca="1" si="326"/>
        <v>0</v>
      </c>
      <c r="R79" s="21">
        <f t="shared" si="5"/>
        <v>0</v>
      </c>
      <c r="S79" s="128">
        <f t="shared" ref="S79:T79" ca="1" si="327">$R79*P79</f>
        <v>0</v>
      </c>
      <c r="T79" s="128">
        <f t="shared" ca="1" si="327"/>
        <v>0</v>
      </c>
      <c r="V79" s="75">
        <f ca="1"/>
        <v>3.509091427654988</v>
      </c>
      <c r="W79" s="75">
        <f ca="1"/>
        <v>0</v>
      </c>
      <c r="X79" s="21">
        <f t="shared" ca="1" si="7"/>
        <v>17692.412613920518</v>
      </c>
      <c r="Y79" s="128">
        <f t="shared" ref="Y79:Z79" ca="1" si="328">$X79*V79</f>
        <v>62084.293438043467</v>
      </c>
      <c r="Z79" s="128">
        <f t="shared" ca="1" si="328"/>
        <v>0</v>
      </c>
      <c r="AA79" s="128"/>
      <c r="AB79" s="161">
        <f t="shared" ref="AB79:AC79" ca="1" si="329">V79</f>
        <v>3.509091427654988</v>
      </c>
      <c r="AC79" s="161">
        <f t="shared" ca="1" si="329"/>
        <v>0</v>
      </c>
      <c r="AD79" s="128">
        <f t="shared" ca="1" si="10"/>
        <v>17692.412613920518</v>
      </c>
      <c r="AE79" s="128">
        <f t="shared" ref="AE79:AF79" ca="1" si="330">$AD79*AB79</f>
        <v>62084.293438043467</v>
      </c>
      <c r="AF79" s="128">
        <f t="shared" ca="1" si="330"/>
        <v>0</v>
      </c>
      <c r="AG79" s="128"/>
    </row>
    <row r="80" spans="13:33" ht="13.2">
      <c r="M80" s="20" t="s">
        <v>10</v>
      </c>
      <c r="N80" s="20" t="s">
        <v>371</v>
      </c>
      <c r="O80" s="20" t="s">
        <v>377</v>
      </c>
      <c r="P80" s="46">
        <f ca="1">IF($C$6="Yes",((1-$C$4)*W80/$F$4)+V80,(1-$C$4)*V80)</f>
        <v>21.562552310908266</v>
      </c>
      <c r="Q80" s="46">
        <f>IF($C$6="Yes",0,(1-$C$4)*W80)</f>
        <v>0</v>
      </c>
      <c r="R80" s="21">
        <f t="shared" si="5"/>
        <v>0</v>
      </c>
      <c r="S80" s="128">
        <f t="shared" ref="S80:T80" ca="1" si="331">$R80*P80</f>
        <v>0</v>
      </c>
      <c r="T80" s="128">
        <f t="shared" si="331"/>
        <v>0</v>
      </c>
      <c r="V80" s="75">
        <f ca="1"/>
        <v>15.316246746430805</v>
      </c>
      <c r="W80" s="75">
        <f ca="1"/>
        <v>37.477833386864766</v>
      </c>
      <c r="X80" s="21">
        <f t="shared" ca="1" si="7"/>
        <v>17692.412613920518</v>
      </c>
      <c r="Y80" s="128">
        <f t="shared" ref="Y80:Z80" ca="1" si="332">$X80*V80</f>
        <v>270981.35713447147</v>
      </c>
      <c r="Z80" s="128">
        <f t="shared" ca="1" si="332"/>
        <v>663073.29215617769</v>
      </c>
      <c r="AA80" s="128"/>
      <c r="AB80" s="161">
        <f t="shared" ref="AB80:AC80" ca="1" si="333">V80</f>
        <v>15.316246746430805</v>
      </c>
      <c r="AC80" s="161">
        <f t="shared" ca="1" si="333"/>
        <v>37.477833386864766</v>
      </c>
      <c r="AD80" s="128">
        <f t="shared" ca="1" si="10"/>
        <v>17692.412613920518</v>
      </c>
      <c r="AE80" s="128">
        <f t="shared" ref="AE80:AF80" ca="1" si="334">$AD80*AB80</f>
        <v>270981.35713447147</v>
      </c>
      <c r="AF80" s="128">
        <f t="shared" ca="1" si="334"/>
        <v>663073.29215617769</v>
      </c>
      <c r="AG80" s="128"/>
    </row>
    <row r="81" spans="13:33" ht="13.2">
      <c r="M81" s="20" t="s">
        <v>10</v>
      </c>
      <c r="N81" s="20" t="s">
        <v>371</v>
      </c>
      <c r="O81" s="20" t="s">
        <v>378</v>
      </c>
      <c r="P81" s="46">
        <f ca="1">IF($C$7="Yes",((1-$C$5)*W81/$F$4)+V81,(1-$C$5)*V81)</f>
        <v>7.2721302290958683</v>
      </c>
      <c r="Q81" s="46">
        <f>IF($C$7="Yes",0,(1-$C$5)*W81)</f>
        <v>0</v>
      </c>
      <c r="R81" s="21">
        <f t="shared" si="5"/>
        <v>0</v>
      </c>
      <c r="S81" s="128">
        <f t="shared" ref="S81:T81" ca="1" si="335">$R81*P81</f>
        <v>0</v>
      </c>
      <c r="T81" s="128">
        <f t="shared" si="335"/>
        <v>0</v>
      </c>
      <c r="V81" s="75">
        <f ca="1"/>
        <v>3.3245342202000812</v>
      </c>
      <c r="W81" s="75">
        <f ca="1"/>
        <v>11.842788026687362</v>
      </c>
      <c r="X81" s="21">
        <f t="shared" ca="1" si="7"/>
        <v>17692.412613920518</v>
      </c>
      <c r="Y81" s="128">
        <f t="shared" ref="Y81:Z81" ca="1" si="336">$X81*V81</f>
        <v>58819.031172878327</v>
      </c>
      <c r="Z81" s="128">
        <f t="shared" ca="1" si="336"/>
        <v>209527.49226735038</v>
      </c>
      <c r="AA81" s="128"/>
      <c r="AB81" s="161">
        <f t="shared" ref="AB81:AC81" ca="1" si="337">V81</f>
        <v>3.3245342202000812</v>
      </c>
      <c r="AC81" s="161">
        <f t="shared" ca="1" si="337"/>
        <v>11.842788026687362</v>
      </c>
      <c r="AD81" s="128">
        <f t="shared" ca="1" si="10"/>
        <v>17692.412613920518</v>
      </c>
      <c r="AE81" s="128">
        <f t="shared" ref="AE81:AF81" ca="1" si="338">$AD81*AB81</f>
        <v>58819.031172878327</v>
      </c>
      <c r="AF81" s="128">
        <f t="shared" ca="1" si="338"/>
        <v>209527.49226735038</v>
      </c>
      <c r="AG81" s="128"/>
    </row>
    <row r="82" spans="13:33" ht="13.2">
      <c r="M82" s="20" t="s">
        <v>10</v>
      </c>
      <c r="N82" s="20" t="s">
        <v>373</v>
      </c>
      <c r="O82" s="20" t="s">
        <v>369</v>
      </c>
      <c r="P82" s="46">
        <f t="shared" ref="P82:Q82" ca="1" si="339">(1-$C$5)*V82</f>
        <v>3.1062556166733932</v>
      </c>
      <c r="Q82" s="46">
        <f t="shared" ca="1" si="339"/>
        <v>0</v>
      </c>
      <c r="R82" s="21">
        <f t="shared" si="5"/>
        <v>0</v>
      </c>
      <c r="S82" s="128">
        <f t="shared" ref="S82:T82" ca="1" si="340">$R82*P82</f>
        <v>0</v>
      </c>
      <c r="T82" s="128">
        <f t="shared" ca="1" si="340"/>
        <v>0</v>
      </c>
      <c r="V82" s="75">
        <f ca="1"/>
        <v>3.1062556166733932</v>
      </c>
      <c r="W82" s="75">
        <f ca="1"/>
        <v>0</v>
      </c>
      <c r="X82" s="21">
        <f t="shared" ca="1" si="7"/>
        <v>4903.8989004702325</v>
      </c>
      <c r="Y82" s="128">
        <f t="shared" ref="Y82:Z82" ca="1" si="341">$X82*V82</f>
        <v>15232.763503184136</v>
      </c>
      <c r="Z82" s="128">
        <f t="shared" ca="1" si="341"/>
        <v>0</v>
      </c>
      <c r="AA82" s="128"/>
      <c r="AB82" s="161">
        <f t="shared" ref="AB82:AC82" ca="1" si="342">V82</f>
        <v>3.1062556166733932</v>
      </c>
      <c r="AC82" s="161">
        <f t="shared" ca="1" si="342"/>
        <v>0</v>
      </c>
      <c r="AD82" s="128">
        <f t="shared" ca="1" si="10"/>
        <v>4903.8989004702325</v>
      </c>
      <c r="AE82" s="128">
        <f t="shared" ref="AE82:AF82" ca="1" si="343">$AD82*AB82</f>
        <v>15232.763503184136</v>
      </c>
      <c r="AF82" s="128">
        <f t="shared" ca="1" si="343"/>
        <v>0</v>
      </c>
      <c r="AG82" s="128"/>
    </row>
    <row r="83" spans="13:33" ht="13.2">
      <c r="M83" s="20" t="s">
        <v>10</v>
      </c>
      <c r="N83" s="20" t="s">
        <v>373</v>
      </c>
      <c r="O83" s="20" t="s">
        <v>372</v>
      </c>
      <c r="P83" s="46">
        <f t="shared" ref="P83:Q83" ca="1" si="344">(1-$C$5)*V83</f>
        <v>4.7243806123531256</v>
      </c>
      <c r="Q83" s="46">
        <f t="shared" ca="1" si="344"/>
        <v>1.2058862659533733</v>
      </c>
      <c r="R83" s="21">
        <f t="shared" si="5"/>
        <v>0</v>
      </c>
      <c r="S83" s="128">
        <f t="shared" ref="S83:T83" ca="1" si="345">$R83*P83</f>
        <v>0</v>
      </c>
      <c r="T83" s="128">
        <f t="shared" ca="1" si="345"/>
        <v>0</v>
      </c>
      <c r="V83" s="75">
        <f ca="1"/>
        <v>4.7243806123531256</v>
      </c>
      <c r="W83" s="75">
        <f ca="1"/>
        <v>1.2058862659533733</v>
      </c>
      <c r="X83" s="21">
        <f t="shared" ca="1" si="7"/>
        <v>4903.8989004702325</v>
      </c>
      <c r="Y83" s="128">
        <f t="shared" ref="Y83:Z83" ca="1" si="346">$X83*V83</f>
        <v>23167.884890321377</v>
      </c>
      <c r="Z83" s="128">
        <f t="shared" ca="1" si="346"/>
        <v>5913.5443337009019</v>
      </c>
      <c r="AA83" s="128"/>
      <c r="AB83" s="161">
        <f t="shared" ref="AB83:AC83" ca="1" si="347">V83</f>
        <v>4.7243806123531256</v>
      </c>
      <c r="AC83" s="161">
        <f t="shared" ca="1" si="347"/>
        <v>1.2058862659533733</v>
      </c>
      <c r="AD83" s="128">
        <f t="shared" ca="1" si="10"/>
        <v>4903.8989004702325</v>
      </c>
      <c r="AE83" s="128">
        <f t="shared" ref="AE83:AF83" ca="1" si="348">$AD83*AB83</f>
        <v>23167.884890321377</v>
      </c>
      <c r="AF83" s="128">
        <f t="shared" ca="1" si="348"/>
        <v>5913.5443337009019</v>
      </c>
      <c r="AG83" s="128"/>
    </row>
    <row r="84" spans="13:33" ht="13.2">
      <c r="M84" s="20" t="s">
        <v>10</v>
      </c>
      <c r="N84" s="20" t="s">
        <v>373</v>
      </c>
      <c r="O84" s="20" t="s">
        <v>374</v>
      </c>
      <c r="P84" s="46">
        <f t="shared" ref="P84:Q84" ca="1" si="349">(1-$C$5)*V84</f>
        <v>7.2394571023029402</v>
      </c>
      <c r="Q84" s="46">
        <f t="shared" ca="1" si="349"/>
        <v>0</v>
      </c>
      <c r="R84" s="21">
        <f t="shared" si="5"/>
        <v>0</v>
      </c>
      <c r="S84" s="128">
        <f t="shared" ref="S84:T84" ca="1" si="350">$R84*P84</f>
        <v>0</v>
      </c>
      <c r="T84" s="128">
        <f t="shared" ca="1" si="350"/>
        <v>0</v>
      </c>
      <c r="V84" s="75">
        <f ca="1"/>
        <v>7.2394571023029402</v>
      </c>
      <c r="W84" s="75">
        <f ca="1"/>
        <v>0</v>
      </c>
      <c r="X84" s="21">
        <f t="shared" ca="1" si="7"/>
        <v>4903.8989004702325</v>
      </c>
      <c r="Y84" s="128">
        <f t="shared" ref="Y84:Z84" ca="1" si="351">$X84*V84</f>
        <v>35501.565723984801</v>
      </c>
      <c r="Z84" s="128">
        <f t="shared" ca="1" si="351"/>
        <v>0</v>
      </c>
      <c r="AA84" s="128"/>
      <c r="AB84" s="161">
        <f t="shared" ref="AB84:AC84" ca="1" si="352">V84</f>
        <v>7.2394571023029402</v>
      </c>
      <c r="AC84" s="161">
        <f t="shared" ca="1" si="352"/>
        <v>0</v>
      </c>
      <c r="AD84" s="128">
        <f t="shared" ca="1" si="10"/>
        <v>4903.8989004702325</v>
      </c>
      <c r="AE84" s="128">
        <f t="shared" ref="AE84:AF84" ca="1" si="353">$AD84*AB84</f>
        <v>35501.565723984801</v>
      </c>
      <c r="AF84" s="128">
        <f t="shared" ca="1" si="353"/>
        <v>0</v>
      </c>
      <c r="AG84" s="128"/>
    </row>
    <row r="85" spans="13:33" ht="13.2">
      <c r="M85" s="20" t="s">
        <v>10</v>
      </c>
      <c r="N85" s="20" t="s">
        <v>373</v>
      </c>
      <c r="O85" s="20" t="s">
        <v>375</v>
      </c>
      <c r="P85" s="46">
        <f t="shared" ref="P85:Q85" ca="1" si="354">(1-$C$5)*V85</f>
        <v>1.9415710542459741</v>
      </c>
      <c r="Q85" s="46">
        <f t="shared" ca="1" si="354"/>
        <v>0</v>
      </c>
      <c r="R85" s="21">
        <f t="shared" si="5"/>
        <v>0</v>
      </c>
      <c r="S85" s="128">
        <f t="shared" ref="S85:T85" ca="1" si="355">$R85*P85</f>
        <v>0</v>
      </c>
      <c r="T85" s="128">
        <f t="shared" ca="1" si="355"/>
        <v>0</v>
      </c>
      <c r="V85" s="75">
        <f ca="1"/>
        <v>1.9415710542459741</v>
      </c>
      <c r="W85" s="75">
        <f ca="1"/>
        <v>0</v>
      </c>
      <c r="X85" s="21">
        <f t="shared" ca="1" si="7"/>
        <v>4903.8989004702325</v>
      </c>
      <c r="Y85" s="128">
        <f t="shared" ref="Y85:Z85" ca="1" si="356">$X85*V85</f>
        <v>9521.2681581016623</v>
      </c>
      <c r="Z85" s="128">
        <f t="shared" ca="1" si="356"/>
        <v>0</v>
      </c>
      <c r="AA85" s="128"/>
      <c r="AB85" s="161">
        <f t="shared" ref="AB85:AC85" ca="1" si="357">V85</f>
        <v>1.9415710542459741</v>
      </c>
      <c r="AC85" s="161">
        <f t="shared" ca="1" si="357"/>
        <v>0</v>
      </c>
      <c r="AD85" s="128">
        <f t="shared" ca="1" si="10"/>
        <v>4903.8989004702325</v>
      </c>
      <c r="AE85" s="128">
        <f t="shared" ref="AE85:AF85" ca="1" si="358">$AD85*AB85</f>
        <v>9521.2681581016623</v>
      </c>
      <c r="AF85" s="128">
        <f t="shared" ca="1" si="358"/>
        <v>0</v>
      </c>
      <c r="AG85" s="128"/>
    </row>
    <row r="86" spans="13:33" ht="13.2">
      <c r="M86" s="20" t="s">
        <v>10</v>
      </c>
      <c r="N86" s="20" t="s">
        <v>373</v>
      </c>
      <c r="O86" s="20" t="s">
        <v>376</v>
      </c>
      <c r="P86" s="46">
        <f t="shared" ref="P86:Q86" ca="1" si="359">(1-$C$5)*V86</f>
        <v>3.677427016166968</v>
      </c>
      <c r="Q86" s="46">
        <f t="shared" ca="1" si="359"/>
        <v>0</v>
      </c>
      <c r="R86" s="21">
        <f t="shared" si="5"/>
        <v>0</v>
      </c>
      <c r="S86" s="128">
        <f t="shared" ref="S86:T86" ca="1" si="360">$R86*P86</f>
        <v>0</v>
      </c>
      <c r="T86" s="128">
        <f t="shared" ca="1" si="360"/>
        <v>0</v>
      </c>
      <c r="V86" s="75">
        <f ca="1"/>
        <v>3.677427016166968</v>
      </c>
      <c r="W86" s="75">
        <f ca="1"/>
        <v>0</v>
      </c>
      <c r="X86" s="21">
        <f t="shared" ca="1" si="7"/>
        <v>4903.8989004702325</v>
      </c>
      <c r="Y86" s="128">
        <f t="shared" ref="Y86:Z86" ca="1" si="361">$X86*V86</f>
        <v>18033.730301140724</v>
      </c>
      <c r="Z86" s="128">
        <f t="shared" ca="1" si="361"/>
        <v>0</v>
      </c>
      <c r="AA86" s="128"/>
      <c r="AB86" s="161">
        <f t="shared" ref="AB86:AC86" ca="1" si="362">V86</f>
        <v>3.677427016166968</v>
      </c>
      <c r="AC86" s="161">
        <f t="shared" ca="1" si="362"/>
        <v>0</v>
      </c>
      <c r="AD86" s="128">
        <f t="shared" ca="1" si="10"/>
        <v>4903.8989004702325</v>
      </c>
      <c r="AE86" s="128">
        <f t="shared" ref="AE86:AF86" ca="1" si="363">$AD86*AB86</f>
        <v>18033.730301140724</v>
      </c>
      <c r="AF86" s="128">
        <f t="shared" ca="1" si="363"/>
        <v>0</v>
      </c>
      <c r="AG86" s="128"/>
    </row>
    <row r="87" spans="13:33" ht="13.2">
      <c r="M87" s="20" t="s">
        <v>10</v>
      </c>
      <c r="N87" s="20" t="s">
        <v>373</v>
      </c>
      <c r="O87" s="20" t="s">
        <v>377</v>
      </c>
      <c r="P87" s="46">
        <f ca="1">IF($C$6="Yes",((1-$C$4)*W87/$F$4)+V87,(1-$C$4)*V87)</f>
        <v>19.302544271298707</v>
      </c>
      <c r="Q87" s="46">
        <f>IF($C$6="Yes",0,(1-$C$4)*W87)</f>
        <v>0</v>
      </c>
      <c r="R87" s="21">
        <f t="shared" si="5"/>
        <v>0</v>
      </c>
      <c r="S87" s="128">
        <f t="shared" ref="S87:T87" ca="1" si="364">$R87*P87</f>
        <v>0</v>
      </c>
      <c r="T87" s="128">
        <f t="shared" si="364"/>
        <v>0</v>
      </c>
      <c r="V87" s="75">
        <f ca="1"/>
        <v>12.684174723946134</v>
      </c>
      <c r="W87" s="75">
        <f ca="1"/>
        <v>39.71021728411543</v>
      </c>
      <c r="X87" s="21">
        <f t="shared" ca="1" si="7"/>
        <v>4903.8989004702325</v>
      </c>
      <c r="Y87" s="128">
        <f t="shared" ref="Y87:Z87" ca="1" si="365">$X87*V87</f>
        <v>62201.91048213176</v>
      </c>
      <c r="Z87" s="128">
        <f t="shared" ca="1" si="365"/>
        <v>194734.89087700768</v>
      </c>
      <c r="AA87" s="128"/>
      <c r="AB87" s="161">
        <f t="shared" ref="AB87:AC87" ca="1" si="366">V87</f>
        <v>12.684174723946134</v>
      </c>
      <c r="AC87" s="161">
        <f t="shared" ca="1" si="366"/>
        <v>39.71021728411543</v>
      </c>
      <c r="AD87" s="128">
        <f t="shared" ca="1" si="10"/>
        <v>4903.8989004702325</v>
      </c>
      <c r="AE87" s="128">
        <f t="shared" ref="AE87:AF87" ca="1" si="367">$AD87*AB87</f>
        <v>62201.91048213176</v>
      </c>
      <c r="AF87" s="128">
        <f t="shared" ca="1" si="367"/>
        <v>194734.89087700768</v>
      </c>
      <c r="AG87" s="128"/>
    </row>
    <row r="88" spans="13:33" ht="13.2">
      <c r="M88" s="20" t="s">
        <v>10</v>
      </c>
      <c r="N88" s="20" t="s">
        <v>373</v>
      </c>
      <c r="O88" s="20" t="s">
        <v>378</v>
      </c>
      <c r="P88" s="46">
        <f ca="1">IF($C$7="Yes",((1-$C$5)*W88/$F$4)+V88,(1-$C$5)*V88)</f>
        <v>5.1249764107219242</v>
      </c>
      <c r="Q88" s="46">
        <f>IF($C$7="Yes",0,(1-$C$5)*W88)</f>
        <v>0</v>
      </c>
      <c r="R88" s="21">
        <f t="shared" si="5"/>
        <v>0</v>
      </c>
      <c r="S88" s="128">
        <f t="shared" ref="S88:T88" ca="1" si="368">$R88*P88</f>
        <v>0</v>
      </c>
      <c r="T88" s="128">
        <f t="shared" si="368"/>
        <v>0</v>
      </c>
      <c r="V88" s="75">
        <f ca="1"/>
        <v>1.9771804007920744</v>
      </c>
      <c r="W88" s="75">
        <f ca="1"/>
        <v>9.4433880297895492</v>
      </c>
      <c r="X88" s="21">
        <f t="shared" ca="1" si="7"/>
        <v>4903.8989004702325</v>
      </c>
      <c r="Y88" s="128">
        <f t="shared" ref="Y88:Z88" ca="1" si="369">$X88*V88</f>
        <v>9695.8927934755466</v>
      </c>
      <c r="Z88" s="128">
        <f t="shared" ca="1" si="369"/>
        <v>46309.420175998726</v>
      </c>
      <c r="AA88" s="128"/>
      <c r="AB88" s="161">
        <f t="shared" ref="AB88:AC88" ca="1" si="370">V88</f>
        <v>1.9771804007920744</v>
      </c>
      <c r="AC88" s="161">
        <f t="shared" ca="1" si="370"/>
        <v>9.4433880297895492</v>
      </c>
      <c r="AD88" s="128">
        <f t="shared" ca="1" si="10"/>
        <v>4903.8989004702325</v>
      </c>
      <c r="AE88" s="128">
        <f t="shared" ref="AE88:AF88" ca="1" si="371">$AD88*AB88</f>
        <v>9695.8927934755466</v>
      </c>
      <c r="AF88" s="128">
        <f t="shared" ca="1" si="371"/>
        <v>46309.420175998726</v>
      </c>
      <c r="AG88" s="128"/>
    </row>
    <row r="89" spans="13:33" ht="13.2">
      <c r="M89" s="20" t="s">
        <v>10</v>
      </c>
      <c r="N89" s="20" t="s">
        <v>370</v>
      </c>
      <c r="O89" s="20" t="s">
        <v>369</v>
      </c>
      <c r="P89" s="46">
        <f t="shared" ref="P89:Q89" ca="1" si="372">(1-$C$5)*V89</f>
        <v>3.5189232150330203</v>
      </c>
      <c r="Q89" s="46">
        <f t="shared" ca="1" si="372"/>
        <v>1.3210238600415179E-2</v>
      </c>
      <c r="R89" s="21">
        <f t="shared" si="5"/>
        <v>200</v>
      </c>
      <c r="S89" s="128">
        <f t="shared" ref="S89:T89" ca="1" si="373">$R89*P89</f>
        <v>703.78464300660403</v>
      </c>
      <c r="T89" s="128">
        <f t="shared" ca="1" si="373"/>
        <v>2.6420477200830357</v>
      </c>
      <c r="V89" s="75">
        <f ca="1"/>
        <v>3.5189232150330203</v>
      </c>
      <c r="W89" s="75">
        <f ca="1"/>
        <v>1.3210238600415179E-2</v>
      </c>
      <c r="X89" s="21">
        <f t="shared" ca="1" si="7"/>
        <v>49302.29467244343</v>
      </c>
      <c r="Y89" s="128">
        <f t="shared" ref="Y89:Z89" ca="1" si="374">$X89*V89</f>
        <v>173490.98927725997</v>
      </c>
      <c r="Z89" s="128">
        <f t="shared" ca="1" si="374"/>
        <v>651.29507617095578</v>
      </c>
      <c r="AA89" s="128"/>
      <c r="AB89" s="161">
        <f t="shared" ref="AB89:AC89" ca="1" si="375">V89</f>
        <v>3.5189232150330203</v>
      </c>
      <c r="AC89" s="161">
        <f t="shared" ca="1" si="375"/>
        <v>1.3210238600415179E-2</v>
      </c>
      <c r="AD89" s="128">
        <f t="shared" ca="1" si="10"/>
        <v>49502.29467244343</v>
      </c>
      <c r="AE89" s="128">
        <f t="shared" ref="AE89:AF89" ca="1" si="376">$AD89*AB89</f>
        <v>174194.7739202666</v>
      </c>
      <c r="AF89" s="128">
        <f t="shared" ca="1" si="376"/>
        <v>653.93712389103882</v>
      </c>
      <c r="AG89" s="128"/>
    </row>
    <row r="90" spans="13:33" ht="13.2">
      <c r="M90" s="20" t="s">
        <v>10</v>
      </c>
      <c r="N90" s="20" t="s">
        <v>370</v>
      </c>
      <c r="O90" s="20" t="s">
        <v>372</v>
      </c>
      <c r="P90" s="46">
        <f t="shared" ref="P90:Q90" ca="1" si="377">(1-$C$5)*V90</f>
        <v>5.6159810064821389</v>
      </c>
      <c r="Q90" s="46">
        <f t="shared" ca="1" si="377"/>
        <v>1.0194324834095465</v>
      </c>
      <c r="R90" s="21">
        <f t="shared" si="5"/>
        <v>200</v>
      </c>
      <c r="S90" s="128">
        <f t="shared" ref="S90:T90" ca="1" si="378">$R90*P90</f>
        <v>1123.1962012964277</v>
      </c>
      <c r="T90" s="128">
        <f t="shared" ca="1" si="378"/>
        <v>203.88649668190931</v>
      </c>
      <c r="V90" s="75">
        <f ca="1"/>
        <v>5.6159810064821389</v>
      </c>
      <c r="W90" s="75">
        <f ca="1"/>
        <v>1.0194324834095465</v>
      </c>
      <c r="X90" s="21">
        <f t="shared" ca="1" si="7"/>
        <v>49302.29467244343</v>
      </c>
      <c r="Y90" s="128">
        <f t="shared" ref="Y90:Z90" ca="1" si="379">$X90*V90</f>
        <v>276880.75045642786</v>
      </c>
      <c r="Z90" s="128">
        <f t="shared" ca="1" si="379"/>
        <v>50260.360695718256</v>
      </c>
      <c r="AA90" s="128"/>
      <c r="AB90" s="161">
        <f t="shared" ref="AB90:AC90" ca="1" si="380">V90</f>
        <v>5.6159810064821389</v>
      </c>
      <c r="AC90" s="161">
        <f t="shared" ca="1" si="380"/>
        <v>1.0194324834095465</v>
      </c>
      <c r="AD90" s="128">
        <f t="shared" ca="1" si="10"/>
        <v>49502.29467244343</v>
      </c>
      <c r="AE90" s="128">
        <f t="shared" ref="AE90:AF90" ca="1" si="381">$AD90*AB90</f>
        <v>278003.94665772427</v>
      </c>
      <c r="AF90" s="128">
        <f t="shared" ca="1" si="381"/>
        <v>50464.247192400166</v>
      </c>
      <c r="AG90" s="128"/>
    </row>
    <row r="91" spans="13:33" ht="13.2">
      <c r="M91" s="20" t="s">
        <v>10</v>
      </c>
      <c r="N91" s="20" t="s">
        <v>370</v>
      </c>
      <c r="O91" s="20" t="s">
        <v>374</v>
      </c>
      <c r="P91" s="46">
        <f t="shared" ref="P91:Q91" ca="1" si="382">(1-$C$5)*V91</f>
        <v>6.1384305583891079</v>
      </c>
      <c r="Q91" s="46">
        <f t="shared" ca="1" si="382"/>
        <v>0</v>
      </c>
      <c r="R91" s="21">
        <f t="shared" si="5"/>
        <v>200</v>
      </c>
      <c r="S91" s="128">
        <f t="shared" ref="S91:T91" ca="1" si="383">$R91*P91</f>
        <v>1227.6861116778216</v>
      </c>
      <c r="T91" s="128">
        <f t="shared" ca="1" si="383"/>
        <v>0</v>
      </c>
      <c r="V91" s="75">
        <f ca="1"/>
        <v>6.1384305583891079</v>
      </c>
      <c r="W91" s="75">
        <f ca="1"/>
        <v>0</v>
      </c>
      <c r="X91" s="21">
        <f t="shared" ca="1" si="7"/>
        <v>49302.29467244343</v>
      </c>
      <c r="Y91" s="128">
        <f t="shared" ref="Y91:Z91" ca="1" si="384">$X91*V91</f>
        <v>302638.71221603127</v>
      </c>
      <c r="Z91" s="128">
        <f t="shared" ca="1" si="384"/>
        <v>0</v>
      </c>
      <c r="AA91" s="128"/>
      <c r="AB91" s="161">
        <f t="shared" ref="AB91:AC91" ca="1" si="385">V91</f>
        <v>6.1384305583891079</v>
      </c>
      <c r="AC91" s="161">
        <f t="shared" ca="1" si="385"/>
        <v>0</v>
      </c>
      <c r="AD91" s="128">
        <f t="shared" ca="1" si="10"/>
        <v>49502.29467244343</v>
      </c>
      <c r="AE91" s="128">
        <f t="shared" ref="AE91:AF91" ca="1" si="386">$AD91*AB91</f>
        <v>303866.39832770906</v>
      </c>
      <c r="AF91" s="128">
        <f t="shared" ca="1" si="386"/>
        <v>0</v>
      </c>
      <c r="AG91" s="128"/>
    </row>
    <row r="92" spans="13:33" ht="13.2">
      <c r="M92" s="20" t="s">
        <v>10</v>
      </c>
      <c r="N92" s="20" t="s">
        <v>370</v>
      </c>
      <c r="O92" s="20" t="s">
        <v>375</v>
      </c>
      <c r="P92" s="46">
        <f t="shared" ref="P92:Q92" ca="1" si="387">(1-$C$5)*V92</f>
        <v>2.493806402119811</v>
      </c>
      <c r="Q92" s="46">
        <f t="shared" ca="1" si="387"/>
        <v>0</v>
      </c>
      <c r="R92" s="21">
        <f t="shared" si="5"/>
        <v>200</v>
      </c>
      <c r="S92" s="128">
        <f t="shared" ref="S92:T92" ca="1" si="388">$R92*P92</f>
        <v>498.76128042396221</v>
      </c>
      <c r="T92" s="128">
        <f t="shared" ca="1" si="388"/>
        <v>0</v>
      </c>
      <c r="V92" s="75">
        <f ca="1"/>
        <v>2.493806402119811</v>
      </c>
      <c r="W92" s="75">
        <f ca="1"/>
        <v>0</v>
      </c>
      <c r="X92" s="21">
        <f t="shared" ca="1" si="7"/>
        <v>49302.29467244343</v>
      </c>
      <c r="Y92" s="128">
        <f t="shared" ref="Y92:Z92" ca="1" si="389">$X92*V92</f>
        <v>122950.37809333687</v>
      </c>
      <c r="Z92" s="128">
        <f t="shared" ca="1" si="389"/>
        <v>0</v>
      </c>
      <c r="AA92" s="128"/>
      <c r="AB92" s="161">
        <f t="shared" ref="AB92:AC92" ca="1" si="390">V92</f>
        <v>2.493806402119811</v>
      </c>
      <c r="AC92" s="161">
        <f t="shared" ca="1" si="390"/>
        <v>0</v>
      </c>
      <c r="AD92" s="128">
        <f t="shared" ca="1" si="10"/>
        <v>49502.29467244343</v>
      </c>
      <c r="AE92" s="128">
        <f t="shared" ref="AE92:AF92" ca="1" si="391">$AD92*AB92</f>
        <v>123449.13937376083</v>
      </c>
      <c r="AF92" s="128">
        <f t="shared" ca="1" si="391"/>
        <v>0</v>
      </c>
      <c r="AG92" s="128"/>
    </row>
    <row r="93" spans="13:33" ht="13.2">
      <c r="M93" s="20" t="s">
        <v>10</v>
      </c>
      <c r="N93" s="20" t="s">
        <v>370</v>
      </c>
      <c r="O93" s="20" t="s">
        <v>376</v>
      </c>
      <c r="P93" s="46">
        <f t="shared" ref="P93:Q93" ca="1" si="392">(1-$C$5)*V93</f>
        <v>4.6211702684695659</v>
      </c>
      <c r="Q93" s="46">
        <f t="shared" ca="1" si="392"/>
        <v>0</v>
      </c>
      <c r="R93" s="21">
        <f t="shared" si="5"/>
        <v>200</v>
      </c>
      <c r="S93" s="128">
        <f t="shared" ref="S93:T93" ca="1" si="393">$R93*P93</f>
        <v>924.23405369391321</v>
      </c>
      <c r="T93" s="128">
        <f t="shared" ca="1" si="393"/>
        <v>0</v>
      </c>
      <c r="V93" s="75">
        <f ca="1"/>
        <v>4.6211702684695659</v>
      </c>
      <c r="W93" s="75">
        <f ca="1"/>
        <v>0</v>
      </c>
      <c r="X93" s="21">
        <f t="shared" ca="1" si="7"/>
        <v>49302.29467244343</v>
      </c>
      <c r="Y93" s="128">
        <f t="shared" ref="Y93:Z93" ca="1" si="394">$X93*V93</f>
        <v>227834.29830762107</v>
      </c>
      <c r="Z93" s="128">
        <f t="shared" ca="1" si="394"/>
        <v>0</v>
      </c>
      <c r="AA93" s="128"/>
      <c r="AB93" s="161">
        <f t="shared" ref="AB93:AC93" ca="1" si="395">V93</f>
        <v>4.6211702684695659</v>
      </c>
      <c r="AC93" s="161">
        <f t="shared" ca="1" si="395"/>
        <v>0</v>
      </c>
      <c r="AD93" s="128">
        <f t="shared" ca="1" si="10"/>
        <v>49502.29467244343</v>
      </c>
      <c r="AE93" s="128">
        <f t="shared" ref="AE93:AF93" ca="1" si="396">$AD93*AB93</f>
        <v>228758.53236131495</v>
      </c>
      <c r="AF93" s="128">
        <f t="shared" ca="1" si="396"/>
        <v>0</v>
      </c>
      <c r="AG93" s="128"/>
    </row>
    <row r="94" spans="13:33" ht="13.2">
      <c r="M94" s="20" t="s">
        <v>10</v>
      </c>
      <c r="N94" s="20" t="s">
        <v>370</v>
      </c>
      <c r="O94" s="20" t="s">
        <v>377</v>
      </c>
      <c r="P94" s="46">
        <f ca="1">IF($C$6="Yes",((1-$C$4)*W94/$F$4)+V94,(1-$C$4)*V94)</f>
        <v>17.910773962359205</v>
      </c>
      <c r="Q94" s="46">
        <f>IF($C$6="Yes",0,(1-$C$4)*W94)</f>
        <v>0</v>
      </c>
      <c r="R94" s="21">
        <f t="shared" si="5"/>
        <v>200</v>
      </c>
      <c r="S94" s="128">
        <f t="shared" ref="S94:T94" ca="1" si="397">$R94*P94</f>
        <v>3582.1547924718411</v>
      </c>
      <c r="T94" s="128">
        <f t="shared" si="397"/>
        <v>0</v>
      </c>
      <c r="V94" s="75">
        <f ca="1"/>
        <v>10.660814806249462</v>
      </c>
      <c r="W94" s="75">
        <f ca="1"/>
        <v>43.499754936658448</v>
      </c>
      <c r="X94" s="21">
        <f t="shared" ca="1" si="7"/>
        <v>49302.29467244343</v>
      </c>
      <c r="Y94" s="128">
        <f t="shared" ref="Y94:Z94" ca="1" si="398">$X94*V94</f>
        <v>525602.6330260589</v>
      </c>
      <c r="Z94" s="128">
        <f t="shared" ca="1" si="398"/>
        <v>2144637.7360662105</v>
      </c>
      <c r="AA94" s="128"/>
      <c r="AB94" s="161">
        <f t="shared" ref="AB94:AC94" ca="1" si="399">V94</f>
        <v>10.660814806249462</v>
      </c>
      <c r="AC94" s="161">
        <f t="shared" ca="1" si="399"/>
        <v>43.499754936658448</v>
      </c>
      <c r="AD94" s="128">
        <f t="shared" ca="1" si="10"/>
        <v>49502.29467244343</v>
      </c>
      <c r="AE94" s="128">
        <f t="shared" ref="AE94:AF94" ca="1" si="400">$AD94*AB94</f>
        <v>527734.79598730872</v>
      </c>
      <c r="AF94" s="128">
        <f t="shared" ca="1" si="400"/>
        <v>2153337.6870535421</v>
      </c>
      <c r="AG94" s="128"/>
    </row>
    <row r="95" spans="13:33" ht="13.2">
      <c r="M95" s="20" t="s">
        <v>10</v>
      </c>
      <c r="N95" s="20" t="s">
        <v>370</v>
      </c>
      <c r="O95" s="20" t="s">
        <v>378</v>
      </c>
      <c r="P95" s="46">
        <f ca="1">IF($C$7="Yes",((1-$C$5)*W95/$F$4)+V95,(1-$C$5)*V95)</f>
        <v>4.2436849101341512</v>
      </c>
      <c r="Q95" s="46">
        <f>IF($C$7="Yes",0,(1-$C$5)*W95)</f>
        <v>0</v>
      </c>
      <c r="R95" s="21">
        <f t="shared" si="5"/>
        <v>200</v>
      </c>
      <c r="S95" s="128">
        <f t="shared" ref="S95:T95" ca="1" si="401">$R95*P95</f>
        <v>848.73698202683022</v>
      </c>
      <c r="T95" s="128">
        <f t="shared" si="401"/>
        <v>0</v>
      </c>
      <c r="V95" s="75">
        <f ca="1"/>
        <v>2.3013202697375048</v>
      </c>
      <c r="W95" s="75">
        <f ca="1"/>
        <v>5.82709392118994</v>
      </c>
      <c r="X95" s="21">
        <f t="shared" ca="1" si="7"/>
        <v>49302.29467244343</v>
      </c>
      <c r="Y95" s="128">
        <f t="shared" ref="Y95:Z95" ca="1" si="402">$X95*V95</f>
        <v>113460.37007426546</v>
      </c>
      <c r="Z95" s="128">
        <f t="shared" ca="1" si="402"/>
        <v>287289.10158651025</v>
      </c>
      <c r="AA95" s="128"/>
      <c r="AB95" s="161">
        <f t="shared" ref="AB95:AC95" ca="1" si="403">V95</f>
        <v>2.3013202697375048</v>
      </c>
      <c r="AC95" s="161">
        <f t="shared" ca="1" si="403"/>
        <v>5.82709392118994</v>
      </c>
      <c r="AD95" s="128">
        <f t="shared" ca="1" si="10"/>
        <v>49502.29467244343</v>
      </c>
      <c r="AE95" s="128">
        <f t="shared" ref="AE95:AF95" ca="1" si="404">$AD95*AB95</f>
        <v>113920.63412821296</v>
      </c>
      <c r="AF95" s="128">
        <f t="shared" ca="1" si="404"/>
        <v>288454.52037074824</v>
      </c>
      <c r="AG95" s="128"/>
    </row>
    <row r="96" spans="13:33" ht="13.2">
      <c r="P96" s="46"/>
      <c r="Q96" s="46"/>
      <c r="S96" s="128"/>
      <c r="T96" s="128"/>
      <c r="V96" s="75">
        <v>0</v>
      </c>
      <c r="W96" s="75">
        <v>0</v>
      </c>
      <c r="Y96" s="128"/>
      <c r="Z96" s="128"/>
      <c r="AA96" s="128"/>
      <c r="AB96" s="128"/>
      <c r="AC96" s="128"/>
      <c r="AD96" s="128"/>
      <c r="AE96" s="128"/>
      <c r="AF96" s="128"/>
      <c r="AG96" s="128"/>
    </row>
    <row r="97" spans="16:33" ht="13.2">
      <c r="P97" s="46"/>
      <c r="Q97" s="46"/>
      <c r="S97" s="128"/>
      <c r="T97" s="128"/>
      <c r="V97" s="75">
        <v>0</v>
      </c>
      <c r="W97" s="75">
        <v>0</v>
      </c>
      <c r="Y97" s="128"/>
      <c r="Z97" s="128"/>
      <c r="AA97" s="128"/>
      <c r="AB97" s="128"/>
      <c r="AC97" s="128"/>
      <c r="AD97" s="128"/>
      <c r="AE97" s="128"/>
      <c r="AF97" s="128"/>
      <c r="AG97" s="128"/>
    </row>
    <row r="98" spans="16:33" ht="13.2">
      <c r="P98" s="46"/>
      <c r="Q98" s="46"/>
      <c r="S98" s="128"/>
      <c r="T98" s="128"/>
      <c r="V98" s="75">
        <v>0</v>
      </c>
      <c r="W98" s="75">
        <v>0</v>
      </c>
      <c r="Y98" s="128"/>
      <c r="Z98" s="128"/>
      <c r="AA98" s="128"/>
      <c r="AB98" s="128"/>
      <c r="AC98" s="128"/>
      <c r="AD98" s="128"/>
      <c r="AE98" s="128"/>
      <c r="AF98" s="128"/>
      <c r="AG98" s="128"/>
    </row>
    <row r="99" spans="16:33" ht="13.2">
      <c r="P99" s="46"/>
      <c r="Q99" s="46"/>
      <c r="S99" s="128"/>
      <c r="T99" s="128"/>
      <c r="V99" s="75">
        <v>0</v>
      </c>
      <c r="W99" s="75">
        <v>0</v>
      </c>
      <c r="Y99" s="128"/>
      <c r="Z99" s="128"/>
      <c r="AA99" s="128"/>
      <c r="AB99" s="128"/>
      <c r="AC99" s="128"/>
      <c r="AD99" s="128"/>
      <c r="AE99" s="128"/>
      <c r="AF99" s="128"/>
      <c r="AG99" s="128"/>
    </row>
    <row r="100" spans="16:33" ht="13.2">
      <c r="P100" s="46"/>
      <c r="Q100" s="46"/>
      <c r="S100" s="128"/>
      <c r="T100" s="128"/>
      <c r="V100" s="75">
        <v>0</v>
      </c>
      <c r="W100" s="75">
        <v>0</v>
      </c>
      <c r="Y100" s="128"/>
      <c r="Z100" s="128"/>
      <c r="AA100" s="128"/>
      <c r="AB100" s="128"/>
      <c r="AC100" s="128"/>
      <c r="AD100" s="128"/>
      <c r="AE100" s="128"/>
      <c r="AF100" s="128"/>
      <c r="AG100" s="128"/>
    </row>
    <row r="101" spans="16:33" ht="13.2">
      <c r="P101" s="46"/>
      <c r="Q101" s="46"/>
      <c r="S101" s="128"/>
      <c r="T101" s="128"/>
      <c r="V101" s="75">
        <v>0</v>
      </c>
      <c r="W101" s="75">
        <v>0</v>
      </c>
      <c r="Y101" s="128"/>
      <c r="Z101" s="128"/>
      <c r="AA101" s="128"/>
      <c r="AB101" s="128"/>
      <c r="AC101" s="128"/>
      <c r="AD101" s="128"/>
      <c r="AE101" s="128"/>
      <c r="AF101" s="128"/>
      <c r="AG101" s="128"/>
    </row>
    <row r="102" spans="16:33" ht="13.2">
      <c r="P102" s="46"/>
      <c r="Q102" s="46"/>
      <c r="S102" s="128"/>
      <c r="T102" s="128"/>
      <c r="V102" s="75">
        <v>0</v>
      </c>
      <c r="W102" s="75">
        <v>0</v>
      </c>
      <c r="Y102" s="128"/>
      <c r="Z102" s="128"/>
      <c r="AA102" s="128"/>
      <c r="AB102" s="128"/>
      <c r="AC102" s="128"/>
      <c r="AD102" s="128"/>
      <c r="AE102" s="128"/>
      <c r="AF102" s="128"/>
      <c r="AG102" s="128"/>
    </row>
    <row r="103" spans="16:33" ht="13.2">
      <c r="P103" s="46"/>
      <c r="Q103" s="46"/>
      <c r="S103" s="128"/>
      <c r="T103" s="128"/>
      <c r="V103" s="75">
        <v>0</v>
      </c>
      <c r="W103" s="75">
        <v>0</v>
      </c>
      <c r="Y103" s="128"/>
      <c r="Z103" s="128"/>
      <c r="AA103" s="128"/>
      <c r="AB103" s="128"/>
      <c r="AC103" s="128"/>
      <c r="AD103" s="128"/>
      <c r="AE103" s="128"/>
      <c r="AF103" s="128"/>
      <c r="AG103" s="128"/>
    </row>
    <row r="104" spans="16:33" ht="13.2">
      <c r="P104" s="46"/>
      <c r="Q104" s="46"/>
      <c r="S104" s="128"/>
      <c r="T104" s="128"/>
      <c r="V104" s="75">
        <v>0</v>
      </c>
      <c r="W104" s="75">
        <v>0</v>
      </c>
      <c r="Y104" s="128"/>
      <c r="Z104" s="128"/>
      <c r="AA104" s="128"/>
      <c r="AB104" s="128"/>
      <c r="AC104" s="128"/>
      <c r="AD104" s="128"/>
      <c r="AE104" s="128"/>
      <c r="AF104" s="128"/>
      <c r="AG104" s="128"/>
    </row>
    <row r="105" spans="16:33" ht="13.2">
      <c r="P105" s="46"/>
      <c r="Q105" s="46"/>
      <c r="S105" s="128"/>
      <c r="T105" s="128"/>
      <c r="V105" s="75">
        <v>0</v>
      </c>
      <c r="W105" s="75">
        <v>0</v>
      </c>
      <c r="Y105" s="128"/>
      <c r="Z105" s="128"/>
      <c r="AA105" s="128"/>
      <c r="AB105" s="128"/>
      <c r="AC105" s="128"/>
      <c r="AD105" s="128"/>
      <c r="AE105" s="128"/>
      <c r="AF105" s="128"/>
      <c r="AG105" s="128"/>
    </row>
    <row r="106" spans="16:33" ht="13.2">
      <c r="P106" s="46"/>
      <c r="Q106" s="46"/>
      <c r="S106" s="128"/>
      <c r="T106" s="128"/>
      <c r="V106" s="75">
        <v>0</v>
      </c>
      <c r="W106" s="75">
        <v>0</v>
      </c>
      <c r="Y106" s="128"/>
      <c r="Z106" s="128"/>
      <c r="AA106" s="128"/>
      <c r="AB106" s="128"/>
      <c r="AC106" s="128"/>
      <c r="AD106" s="128"/>
      <c r="AE106" s="128"/>
      <c r="AF106" s="128"/>
      <c r="AG106" s="128"/>
    </row>
    <row r="107" spans="16:33" ht="13.2">
      <c r="P107" s="46"/>
      <c r="Q107" s="46"/>
      <c r="S107" s="128"/>
      <c r="T107" s="128"/>
      <c r="V107" s="75">
        <v>0</v>
      </c>
      <c r="W107" s="75">
        <v>0</v>
      </c>
      <c r="Y107" s="128"/>
      <c r="Z107" s="128"/>
      <c r="AA107" s="128"/>
      <c r="AB107" s="128"/>
      <c r="AC107" s="128"/>
      <c r="AD107" s="128"/>
      <c r="AE107" s="128"/>
      <c r="AF107" s="128"/>
      <c r="AG107" s="128"/>
    </row>
    <row r="108" spans="16:33" ht="13.2">
      <c r="P108" s="46"/>
      <c r="Q108" s="46"/>
      <c r="S108" s="128"/>
      <c r="T108" s="128"/>
      <c r="V108" s="75">
        <v>0</v>
      </c>
      <c r="W108" s="75">
        <v>0</v>
      </c>
      <c r="Y108" s="128"/>
      <c r="Z108" s="128"/>
      <c r="AA108" s="128"/>
      <c r="AB108" s="128"/>
      <c r="AC108" s="128"/>
      <c r="AD108" s="128"/>
      <c r="AE108" s="128"/>
      <c r="AF108" s="128"/>
      <c r="AG108" s="128"/>
    </row>
    <row r="109" spans="16:33" ht="13.2">
      <c r="P109" s="46"/>
      <c r="Q109" s="46"/>
      <c r="S109" s="128"/>
      <c r="T109" s="128"/>
      <c r="V109" s="75">
        <v>0</v>
      </c>
      <c r="W109" s="75">
        <v>0</v>
      </c>
      <c r="Y109" s="128"/>
      <c r="Z109" s="128"/>
      <c r="AA109" s="128"/>
      <c r="AB109" s="128"/>
      <c r="AC109" s="128"/>
      <c r="AD109" s="128"/>
      <c r="AE109" s="128"/>
      <c r="AF109" s="128"/>
      <c r="AG109" s="128"/>
    </row>
    <row r="110" spans="16:33" ht="13.2">
      <c r="P110" s="46"/>
      <c r="Q110" s="46"/>
      <c r="S110" s="128"/>
      <c r="T110" s="128"/>
      <c r="V110" s="75">
        <v>0</v>
      </c>
      <c r="W110" s="75">
        <v>0</v>
      </c>
      <c r="Y110" s="128"/>
      <c r="Z110" s="128"/>
      <c r="AA110" s="128"/>
      <c r="AB110" s="128"/>
      <c r="AC110" s="128"/>
      <c r="AD110" s="128"/>
      <c r="AE110" s="128"/>
      <c r="AF110" s="128"/>
      <c r="AG110" s="128"/>
    </row>
    <row r="111" spans="16:33" ht="13.2">
      <c r="P111" s="46"/>
      <c r="Q111" s="46"/>
      <c r="S111" s="128"/>
      <c r="T111" s="128"/>
      <c r="V111" s="75">
        <v>0</v>
      </c>
      <c r="W111" s="75">
        <v>0</v>
      </c>
      <c r="Y111" s="128"/>
      <c r="Z111" s="128"/>
      <c r="AA111" s="128"/>
      <c r="AB111" s="128"/>
      <c r="AC111" s="128"/>
      <c r="AD111" s="128"/>
      <c r="AE111" s="128"/>
      <c r="AF111" s="128"/>
      <c r="AG111" s="128"/>
    </row>
    <row r="112" spans="16:33" ht="13.2">
      <c r="P112" s="46"/>
      <c r="Q112" s="46"/>
      <c r="S112" s="128"/>
      <c r="T112" s="128"/>
      <c r="V112" s="75">
        <v>0</v>
      </c>
      <c r="W112" s="75">
        <v>0</v>
      </c>
      <c r="Y112" s="128"/>
      <c r="Z112" s="128"/>
      <c r="AA112" s="128"/>
      <c r="AB112" s="128"/>
      <c r="AC112" s="128"/>
      <c r="AD112" s="128"/>
      <c r="AE112" s="128"/>
      <c r="AF112" s="128"/>
      <c r="AG112" s="128"/>
    </row>
    <row r="113" spans="16:33" ht="13.2">
      <c r="P113" s="46"/>
      <c r="Q113" s="46"/>
      <c r="S113" s="128"/>
      <c r="T113" s="128"/>
      <c r="V113" s="75">
        <v>0</v>
      </c>
      <c r="W113" s="75">
        <v>0</v>
      </c>
      <c r="Y113" s="128"/>
      <c r="Z113" s="128"/>
      <c r="AA113" s="128"/>
      <c r="AB113" s="128"/>
      <c r="AC113" s="128"/>
      <c r="AD113" s="128"/>
      <c r="AE113" s="128"/>
      <c r="AF113" s="128"/>
      <c r="AG113" s="128"/>
    </row>
    <row r="114" spans="16:33" ht="13.2">
      <c r="P114" s="46"/>
      <c r="Q114" s="46"/>
      <c r="S114" s="128"/>
      <c r="T114" s="128"/>
      <c r="V114" s="75">
        <v>0</v>
      </c>
      <c r="W114" s="75">
        <v>0</v>
      </c>
      <c r="Y114" s="128"/>
      <c r="Z114" s="128"/>
      <c r="AA114" s="128"/>
      <c r="AB114" s="128"/>
      <c r="AC114" s="128"/>
      <c r="AD114" s="128"/>
      <c r="AE114" s="128"/>
      <c r="AF114" s="128"/>
      <c r="AG114" s="128"/>
    </row>
    <row r="115" spans="16:33" ht="13.2">
      <c r="P115" s="46"/>
      <c r="Q115" s="46"/>
      <c r="S115" s="128"/>
      <c r="T115" s="128"/>
      <c r="V115" s="75">
        <v>0</v>
      </c>
      <c r="W115" s="75">
        <v>0</v>
      </c>
      <c r="Y115" s="128"/>
      <c r="Z115" s="128"/>
      <c r="AA115" s="128"/>
      <c r="AB115" s="128"/>
      <c r="AC115" s="128"/>
      <c r="AD115" s="128"/>
      <c r="AE115" s="128"/>
      <c r="AF115" s="128"/>
      <c r="AG115" s="128"/>
    </row>
    <row r="116" spans="16:33" ht="13.2">
      <c r="P116" s="46"/>
      <c r="Q116" s="46"/>
      <c r="S116" s="128"/>
      <c r="T116" s="128"/>
      <c r="V116" s="75">
        <v>0</v>
      </c>
      <c r="W116" s="75">
        <v>0</v>
      </c>
      <c r="Y116" s="128"/>
      <c r="Z116" s="128"/>
      <c r="AA116" s="128"/>
      <c r="AB116" s="128"/>
      <c r="AC116" s="128"/>
      <c r="AD116" s="128"/>
      <c r="AE116" s="128"/>
      <c r="AF116" s="128"/>
      <c r="AG116" s="128"/>
    </row>
    <row r="117" spans="16:33" ht="13.2">
      <c r="P117" s="46"/>
      <c r="Q117" s="46"/>
      <c r="S117" s="128"/>
      <c r="T117" s="128"/>
      <c r="V117" s="75">
        <v>0</v>
      </c>
      <c r="W117" s="75">
        <v>0</v>
      </c>
      <c r="Y117" s="128"/>
      <c r="Z117" s="128"/>
      <c r="AA117" s="128"/>
      <c r="AB117" s="128"/>
      <c r="AC117" s="128"/>
      <c r="AD117" s="128"/>
      <c r="AE117" s="128"/>
      <c r="AF117" s="128"/>
      <c r="AG117" s="128"/>
    </row>
    <row r="118" spans="16:33" ht="13.2">
      <c r="P118" s="46"/>
      <c r="Q118" s="46"/>
      <c r="S118" s="128"/>
      <c r="T118" s="128"/>
      <c r="V118" s="75">
        <v>0</v>
      </c>
      <c r="W118" s="75">
        <v>0</v>
      </c>
      <c r="Y118" s="128"/>
      <c r="Z118" s="128"/>
      <c r="AA118" s="128"/>
      <c r="AB118" s="128"/>
      <c r="AC118" s="128"/>
      <c r="AD118" s="128"/>
      <c r="AE118" s="128"/>
      <c r="AF118" s="128"/>
      <c r="AG118" s="128"/>
    </row>
    <row r="119" spans="16:33" ht="13.2">
      <c r="P119" s="46"/>
      <c r="Q119" s="46"/>
      <c r="S119" s="128"/>
      <c r="T119" s="128"/>
      <c r="V119" s="75">
        <v>0</v>
      </c>
      <c r="W119" s="75">
        <v>0</v>
      </c>
      <c r="Y119" s="128"/>
      <c r="Z119" s="128"/>
      <c r="AA119" s="128"/>
      <c r="AB119" s="128"/>
      <c r="AC119" s="128"/>
      <c r="AD119" s="128"/>
      <c r="AE119" s="128"/>
      <c r="AF119" s="128"/>
      <c r="AG119" s="128"/>
    </row>
    <row r="120" spans="16:33" ht="13.2">
      <c r="P120" s="46"/>
      <c r="Q120" s="46"/>
      <c r="S120" s="128"/>
      <c r="T120" s="128"/>
      <c r="V120" s="75">
        <v>0</v>
      </c>
      <c r="W120" s="75">
        <v>0</v>
      </c>
      <c r="Y120" s="128"/>
      <c r="Z120" s="128"/>
      <c r="AA120" s="128"/>
      <c r="AB120" s="128"/>
      <c r="AC120" s="128"/>
      <c r="AD120" s="128"/>
      <c r="AE120" s="128"/>
      <c r="AF120" s="128"/>
      <c r="AG120" s="128"/>
    </row>
    <row r="121" spans="16:33" ht="13.2">
      <c r="P121" s="46"/>
      <c r="Q121" s="46"/>
      <c r="S121" s="128"/>
      <c r="T121" s="128"/>
      <c r="V121" s="75">
        <v>0</v>
      </c>
      <c r="W121" s="75">
        <v>0</v>
      </c>
      <c r="Y121" s="128"/>
      <c r="Z121" s="128"/>
      <c r="AA121" s="128"/>
      <c r="AB121" s="128"/>
      <c r="AC121" s="128"/>
      <c r="AD121" s="128"/>
      <c r="AE121" s="128"/>
      <c r="AF121" s="128"/>
      <c r="AG121" s="128"/>
    </row>
    <row r="122" spans="16:33" ht="13.2">
      <c r="P122" s="46"/>
      <c r="Q122" s="46"/>
      <c r="S122" s="128"/>
      <c r="T122" s="128"/>
      <c r="V122" s="75">
        <v>0</v>
      </c>
      <c r="W122" s="75">
        <v>0</v>
      </c>
      <c r="Y122" s="128"/>
      <c r="Z122" s="128"/>
      <c r="AA122" s="128"/>
      <c r="AB122" s="128"/>
      <c r="AC122" s="128"/>
      <c r="AD122" s="128"/>
      <c r="AE122" s="128"/>
      <c r="AF122" s="128"/>
      <c r="AG122" s="128"/>
    </row>
    <row r="123" spans="16:33" ht="13.2">
      <c r="P123" s="46"/>
      <c r="Q123" s="46"/>
      <c r="S123" s="128"/>
      <c r="T123" s="128"/>
      <c r="V123" s="75">
        <v>0</v>
      </c>
      <c r="W123" s="75">
        <v>0</v>
      </c>
      <c r="Y123" s="128"/>
      <c r="Z123" s="128"/>
      <c r="AA123" s="128"/>
      <c r="AB123" s="128"/>
      <c r="AC123" s="128"/>
      <c r="AD123" s="128"/>
      <c r="AE123" s="128"/>
      <c r="AF123" s="128"/>
      <c r="AG123" s="128"/>
    </row>
    <row r="124" spans="16:33" ht="13.2">
      <c r="P124" s="46"/>
      <c r="Q124" s="46"/>
      <c r="S124" s="128"/>
      <c r="T124" s="128"/>
      <c r="V124" s="75">
        <v>0</v>
      </c>
      <c r="W124" s="75">
        <v>0</v>
      </c>
      <c r="Y124" s="128"/>
      <c r="Z124" s="128"/>
      <c r="AA124" s="128"/>
      <c r="AB124" s="128"/>
      <c r="AC124" s="128"/>
      <c r="AD124" s="128"/>
      <c r="AE124" s="128"/>
      <c r="AF124" s="128"/>
      <c r="AG124" s="128"/>
    </row>
    <row r="125" spans="16:33" ht="13.2">
      <c r="P125" s="46"/>
      <c r="Q125" s="46"/>
      <c r="S125" s="128"/>
      <c r="T125" s="128"/>
      <c r="V125" s="75">
        <v>0</v>
      </c>
      <c r="W125" s="75">
        <v>0</v>
      </c>
      <c r="Y125" s="128"/>
      <c r="Z125" s="128"/>
      <c r="AA125" s="128"/>
      <c r="AB125" s="128"/>
      <c r="AC125" s="128"/>
      <c r="AD125" s="128"/>
      <c r="AE125" s="128"/>
      <c r="AF125" s="128"/>
      <c r="AG125" s="128"/>
    </row>
    <row r="126" spans="16:33" ht="13.2">
      <c r="P126" s="46"/>
      <c r="Q126" s="46"/>
      <c r="S126" s="128"/>
      <c r="T126" s="128"/>
      <c r="V126" s="75">
        <v>0</v>
      </c>
      <c r="W126" s="75">
        <v>0</v>
      </c>
      <c r="Y126" s="128"/>
      <c r="Z126" s="128"/>
      <c r="AA126" s="128"/>
      <c r="AB126" s="128"/>
      <c r="AC126" s="128"/>
      <c r="AD126" s="128"/>
      <c r="AE126" s="128"/>
      <c r="AF126" s="128"/>
      <c r="AG126" s="128"/>
    </row>
    <row r="127" spans="16:33" ht="13.2">
      <c r="P127" s="46"/>
      <c r="Q127" s="46"/>
      <c r="S127" s="128"/>
      <c r="T127" s="128"/>
      <c r="V127" s="75">
        <v>0</v>
      </c>
      <c r="W127" s="75">
        <v>0</v>
      </c>
      <c r="Y127" s="128"/>
      <c r="Z127" s="128"/>
      <c r="AA127" s="128"/>
      <c r="AB127" s="128"/>
      <c r="AC127" s="128"/>
      <c r="AD127" s="128"/>
      <c r="AE127" s="128"/>
      <c r="AF127" s="128"/>
      <c r="AG127" s="128"/>
    </row>
    <row r="128" spans="16:33" ht="13.2">
      <c r="P128" s="46"/>
      <c r="Q128" s="46"/>
      <c r="S128" s="128"/>
      <c r="T128" s="128"/>
      <c r="V128" s="75">
        <v>0</v>
      </c>
      <c r="W128" s="75">
        <v>0</v>
      </c>
      <c r="Y128" s="128"/>
      <c r="Z128" s="128"/>
      <c r="AA128" s="128"/>
      <c r="AB128" s="128"/>
      <c r="AC128" s="128"/>
      <c r="AD128" s="128"/>
      <c r="AE128" s="128"/>
      <c r="AF128" s="128"/>
      <c r="AG128" s="128"/>
    </row>
    <row r="129" spans="16:33" ht="13.2">
      <c r="P129" s="46"/>
      <c r="Q129" s="46"/>
      <c r="S129" s="128"/>
      <c r="T129" s="128"/>
      <c r="V129" s="75">
        <v>0</v>
      </c>
      <c r="W129" s="75">
        <v>0</v>
      </c>
      <c r="Y129" s="128"/>
      <c r="Z129" s="128"/>
      <c r="AA129" s="128"/>
      <c r="AB129" s="128"/>
      <c r="AC129" s="128"/>
      <c r="AD129" s="128"/>
      <c r="AE129" s="128"/>
      <c r="AF129" s="128"/>
      <c r="AG129" s="128"/>
    </row>
    <row r="130" spans="16:33" ht="13.2">
      <c r="P130" s="46"/>
      <c r="Q130" s="46"/>
      <c r="S130" s="128"/>
      <c r="T130" s="128"/>
      <c r="V130" s="75">
        <v>0</v>
      </c>
      <c r="W130" s="75">
        <v>0</v>
      </c>
      <c r="Y130" s="128"/>
      <c r="Z130" s="128"/>
      <c r="AA130" s="128"/>
      <c r="AB130" s="128"/>
      <c r="AC130" s="128"/>
      <c r="AD130" s="128"/>
      <c r="AE130" s="128"/>
      <c r="AF130" s="128"/>
      <c r="AG130" s="128"/>
    </row>
    <row r="131" spans="16:33" ht="13.2">
      <c r="P131" s="46"/>
      <c r="Q131" s="46"/>
      <c r="S131" s="128"/>
      <c r="T131" s="128"/>
      <c r="V131" s="75">
        <v>0</v>
      </c>
      <c r="W131" s="75">
        <v>0</v>
      </c>
      <c r="Y131" s="128"/>
      <c r="Z131" s="128"/>
      <c r="AA131" s="128"/>
      <c r="AB131" s="128"/>
      <c r="AC131" s="128"/>
      <c r="AD131" s="128"/>
      <c r="AE131" s="128"/>
      <c r="AF131" s="128"/>
      <c r="AG131" s="128"/>
    </row>
    <row r="132" spans="16:33" ht="13.2">
      <c r="P132" s="46"/>
      <c r="Q132" s="46"/>
      <c r="S132" s="128"/>
      <c r="T132" s="128"/>
      <c r="V132" s="75">
        <v>0</v>
      </c>
      <c r="W132" s="75">
        <v>0</v>
      </c>
      <c r="Y132" s="128"/>
      <c r="Z132" s="128"/>
      <c r="AA132" s="128"/>
      <c r="AB132" s="128"/>
      <c r="AC132" s="128"/>
      <c r="AD132" s="128"/>
      <c r="AE132" s="128"/>
      <c r="AF132" s="128"/>
      <c r="AG132" s="128"/>
    </row>
    <row r="133" spans="16:33" ht="13.2">
      <c r="P133" s="46"/>
      <c r="Q133" s="46"/>
      <c r="S133" s="128"/>
      <c r="T133" s="128"/>
      <c r="V133" s="75">
        <v>0</v>
      </c>
      <c r="W133" s="75">
        <v>0</v>
      </c>
      <c r="Y133" s="128"/>
      <c r="Z133" s="128"/>
      <c r="AA133" s="128"/>
      <c r="AB133" s="128"/>
      <c r="AC133" s="128"/>
      <c r="AD133" s="128"/>
      <c r="AE133" s="128"/>
      <c r="AF133" s="128"/>
      <c r="AG133" s="128"/>
    </row>
    <row r="134" spans="16:33" ht="13.2">
      <c r="P134" s="46"/>
      <c r="Q134" s="46"/>
      <c r="S134" s="128"/>
      <c r="T134" s="128"/>
      <c r="V134" s="75">
        <v>0</v>
      </c>
      <c r="W134" s="75">
        <v>0</v>
      </c>
      <c r="Y134" s="128"/>
      <c r="Z134" s="128"/>
      <c r="AA134" s="128"/>
      <c r="AB134" s="128"/>
      <c r="AC134" s="128"/>
      <c r="AD134" s="128"/>
      <c r="AE134" s="128"/>
      <c r="AF134" s="128"/>
      <c r="AG134" s="128"/>
    </row>
    <row r="135" spans="16:33" ht="13.2">
      <c r="P135" s="46"/>
      <c r="Q135" s="46"/>
      <c r="S135" s="128"/>
      <c r="T135" s="128"/>
      <c r="V135" s="75">
        <v>0</v>
      </c>
      <c r="W135" s="75">
        <v>0</v>
      </c>
      <c r="Y135" s="128"/>
      <c r="Z135" s="128"/>
      <c r="AA135" s="128"/>
      <c r="AB135" s="128"/>
      <c r="AC135" s="128"/>
      <c r="AD135" s="128"/>
      <c r="AE135" s="128"/>
      <c r="AF135" s="128"/>
      <c r="AG135" s="128"/>
    </row>
    <row r="136" spans="16:33" ht="13.2">
      <c r="P136" s="46"/>
      <c r="Q136" s="46"/>
      <c r="S136" s="128"/>
      <c r="T136" s="128"/>
      <c r="V136" s="75">
        <v>0</v>
      </c>
      <c r="W136" s="75">
        <v>0</v>
      </c>
      <c r="Y136" s="128"/>
      <c r="Z136" s="128"/>
      <c r="AA136" s="128"/>
      <c r="AB136" s="128"/>
      <c r="AC136" s="128"/>
      <c r="AD136" s="128"/>
      <c r="AE136" s="128"/>
      <c r="AF136" s="128"/>
      <c r="AG136" s="128"/>
    </row>
    <row r="137" spans="16:33" ht="13.2">
      <c r="P137" s="46"/>
      <c r="Q137" s="46"/>
      <c r="S137" s="128"/>
      <c r="T137" s="128"/>
      <c r="V137" s="75">
        <v>0</v>
      </c>
      <c r="W137" s="75">
        <v>0</v>
      </c>
      <c r="Y137" s="128"/>
      <c r="Z137" s="128"/>
      <c r="AA137" s="128"/>
      <c r="AB137" s="128"/>
      <c r="AC137" s="128"/>
      <c r="AD137" s="128"/>
      <c r="AE137" s="128"/>
      <c r="AF137" s="128"/>
      <c r="AG137" s="128"/>
    </row>
    <row r="138" spans="16:33" ht="13.2">
      <c r="P138" s="46"/>
      <c r="Q138" s="46"/>
      <c r="S138" s="128"/>
      <c r="T138" s="128"/>
      <c r="V138" s="75">
        <v>0</v>
      </c>
      <c r="W138" s="75">
        <v>0</v>
      </c>
      <c r="Y138" s="128"/>
      <c r="Z138" s="128"/>
      <c r="AA138" s="128"/>
      <c r="AB138" s="128"/>
      <c r="AC138" s="128"/>
      <c r="AD138" s="128"/>
      <c r="AE138" s="128"/>
      <c r="AF138" s="128"/>
      <c r="AG138" s="128"/>
    </row>
    <row r="139" spans="16:33" ht="13.2">
      <c r="P139" s="46"/>
      <c r="Q139" s="46"/>
      <c r="S139" s="128"/>
      <c r="T139" s="128"/>
      <c r="V139" s="75">
        <v>0</v>
      </c>
      <c r="W139" s="75">
        <v>0</v>
      </c>
      <c r="Y139" s="128"/>
      <c r="Z139" s="128"/>
      <c r="AA139" s="128"/>
      <c r="AB139" s="128"/>
      <c r="AC139" s="128"/>
      <c r="AD139" s="128"/>
      <c r="AE139" s="128"/>
      <c r="AF139" s="128"/>
      <c r="AG139" s="128"/>
    </row>
    <row r="140" spans="16:33" ht="13.2">
      <c r="P140" s="46"/>
      <c r="Q140" s="46"/>
      <c r="S140" s="128"/>
      <c r="T140" s="128"/>
      <c r="V140" s="75">
        <v>0</v>
      </c>
      <c r="W140" s="75">
        <v>0</v>
      </c>
      <c r="Y140" s="128"/>
      <c r="Z140" s="128"/>
      <c r="AA140" s="128"/>
      <c r="AB140" s="128"/>
      <c r="AC140" s="128"/>
      <c r="AD140" s="128"/>
      <c r="AE140" s="128"/>
      <c r="AF140" s="128"/>
      <c r="AG140" s="128"/>
    </row>
    <row r="141" spans="16:33" ht="13.2">
      <c r="P141" s="46"/>
      <c r="Q141" s="46"/>
      <c r="S141" s="128"/>
      <c r="T141" s="128"/>
      <c r="V141" s="75">
        <v>0</v>
      </c>
      <c r="W141" s="75">
        <v>0</v>
      </c>
      <c r="Y141" s="128"/>
      <c r="Z141" s="128"/>
      <c r="AA141" s="128"/>
      <c r="AB141" s="128"/>
      <c r="AC141" s="128"/>
      <c r="AD141" s="128"/>
      <c r="AE141" s="128"/>
      <c r="AF141" s="128"/>
      <c r="AG141" s="128"/>
    </row>
    <row r="142" spans="16:33" ht="13.2">
      <c r="P142" s="46"/>
      <c r="Q142" s="46"/>
      <c r="S142" s="128"/>
      <c r="T142" s="128"/>
      <c r="V142" s="75">
        <v>0</v>
      </c>
      <c r="W142" s="75">
        <v>0</v>
      </c>
      <c r="Y142" s="128"/>
      <c r="Z142" s="128"/>
      <c r="AA142" s="128"/>
      <c r="AB142" s="128"/>
      <c r="AC142" s="128"/>
      <c r="AD142" s="128"/>
      <c r="AE142" s="128"/>
      <c r="AF142" s="128"/>
      <c r="AG142" s="128"/>
    </row>
    <row r="143" spans="16:33" ht="13.2">
      <c r="P143" s="46"/>
      <c r="Q143" s="46"/>
      <c r="S143" s="128"/>
      <c r="T143" s="128"/>
      <c r="V143" s="75">
        <v>0</v>
      </c>
      <c r="W143" s="75">
        <v>0</v>
      </c>
      <c r="Y143" s="128"/>
      <c r="Z143" s="128"/>
      <c r="AA143" s="128"/>
      <c r="AB143" s="128"/>
      <c r="AC143" s="128"/>
      <c r="AD143" s="128"/>
      <c r="AE143" s="128"/>
      <c r="AF143" s="128"/>
      <c r="AG143" s="128"/>
    </row>
    <row r="144" spans="16:33" ht="13.2">
      <c r="P144" s="46"/>
      <c r="Q144" s="46"/>
      <c r="S144" s="128"/>
      <c r="T144" s="128"/>
      <c r="V144" s="75">
        <v>0</v>
      </c>
      <c r="W144" s="75">
        <v>0</v>
      </c>
      <c r="Y144" s="128"/>
      <c r="Z144" s="128"/>
      <c r="AA144" s="128"/>
      <c r="AB144" s="128"/>
      <c r="AC144" s="128"/>
      <c r="AD144" s="128"/>
      <c r="AE144" s="128"/>
      <c r="AF144" s="128"/>
      <c r="AG144" s="128"/>
    </row>
    <row r="145" spans="16:33" ht="13.2">
      <c r="P145" s="46"/>
      <c r="Q145" s="46"/>
      <c r="S145" s="128"/>
      <c r="T145" s="128"/>
      <c r="V145" s="75">
        <v>0</v>
      </c>
      <c r="W145" s="75">
        <v>0</v>
      </c>
      <c r="Y145" s="128"/>
      <c r="Z145" s="128"/>
      <c r="AA145" s="128"/>
      <c r="AB145" s="128"/>
      <c r="AC145" s="128"/>
      <c r="AD145" s="128"/>
      <c r="AE145" s="128"/>
      <c r="AF145" s="128"/>
      <c r="AG145" s="128"/>
    </row>
    <row r="146" spans="16:33" ht="13.2">
      <c r="P146" s="46"/>
      <c r="Q146" s="46"/>
      <c r="S146" s="128"/>
      <c r="T146" s="128"/>
      <c r="V146" s="75">
        <v>0</v>
      </c>
      <c r="W146" s="75">
        <v>0</v>
      </c>
      <c r="Y146" s="128"/>
      <c r="Z146" s="128"/>
      <c r="AA146" s="128"/>
      <c r="AB146" s="128"/>
      <c r="AC146" s="128"/>
      <c r="AD146" s="128"/>
      <c r="AE146" s="128"/>
      <c r="AF146" s="128"/>
      <c r="AG146" s="128"/>
    </row>
    <row r="147" spans="16:33" ht="13.2">
      <c r="P147" s="46"/>
      <c r="Q147" s="46"/>
      <c r="S147" s="128"/>
      <c r="T147" s="128"/>
      <c r="V147" s="75">
        <v>0</v>
      </c>
      <c r="W147" s="75">
        <v>0</v>
      </c>
      <c r="Y147" s="128"/>
      <c r="Z147" s="128"/>
      <c r="AA147" s="128"/>
      <c r="AB147" s="128"/>
      <c r="AC147" s="128"/>
      <c r="AD147" s="128"/>
      <c r="AE147" s="128"/>
      <c r="AF147" s="128"/>
      <c r="AG147" s="128"/>
    </row>
    <row r="148" spans="16:33" ht="13.2">
      <c r="P148" s="46"/>
      <c r="Q148" s="46"/>
      <c r="S148" s="128"/>
      <c r="T148" s="128"/>
      <c r="V148" s="75">
        <v>0</v>
      </c>
      <c r="W148" s="75">
        <v>0</v>
      </c>
      <c r="Y148" s="128"/>
      <c r="Z148" s="128"/>
      <c r="AA148" s="128"/>
      <c r="AB148" s="128"/>
      <c r="AC148" s="128"/>
      <c r="AD148" s="128"/>
      <c r="AE148" s="128"/>
      <c r="AF148" s="128"/>
      <c r="AG148" s="128"/>
    </row>
    <row r="149" spans="16:33" ht="13.2">
      <c r="P149" s="46"/>
      <c r="Q149" s="46"/>
      <c r="S149" s="128"/>
      <c r="T149" s="128"/>
      <c r="V149" s="75">
        <v>0</v>
      </c>
      <c r="W149" s="75">
        <v>0</v>
      </c>
      <c r="Y149" s="128"/>
      <c r="Z149" s="128"/>
      <c r="AA149" s="128"/>
      <c r="AB149" s="128"/>
      <c r="AC149" s="128"/>
      <c r="AD149" s="128"/>
      <c r="AE149" s="128"/>
      <c r="AF149" s="128"/>
      <c r="AG149" s="128"/>
    </row>
    <row r="150" spans="16:33" ht="13.2">
      <c r="P150" s="46"/>
      <c r="Q150" s="46"/>
      <c r="S150" s="128"/>
      <c r="T150" s="128"/>
      <c r="V150" s="75">
        <v>0</v>
      </c>
      <c r="W150" s="75">
        <v>0</v>
      </c>
      <c r="Y150" s="128"/>
      <c r="Z150" s="128"/>
      <c r="AA150" s="128"/>
      <c r="AB150" s="128"/>
      <c r="AC150" s="128"/>
      <c r="AD150" s="128"/>
      <c r="AE150" s="128"/>
      <c r="AF150" s="128"/>
      <c r="AG150" s="128"/>
    </row>
    <row r="151" spans="16:33" ht="13.2">
      <c r="P151" s="46"/>
      <c r="Q151" s="46"/>
      <c r="S151" s="128"/>
      <c r="T151" s="128"/>
      <c r="V151" s="75">
        <v>0</v>
      </c>
      <c r="W151" s="75">
        <v>0</v>
      </c>
      <c r="Y151" s="128"/>
      <c r="Z151" s="128"/>
      <c r="AA151" s="128"/>
      <c r="AB151" s="128"/>
      <c r="AC151" s="128"/>
      <c r="AD151" s="128"/>
      <c r="AE151" s="128"/>
      <c r="AF151" s="128"/>
      <c r="AG151" s="128"/>
    </row>
    <row r="152" spans="16:33" ht="13.2">
      <c r="P152" s="46"/>
      <c r="Q152" s="46"/>
      <c r="S152" s="128"/>
      <c r="T152" s="128"/>
      <c r="V152" s="75">
        <v>0</v>
      </c>
      <c r="W152" s="75">
        <v>0</v>
      </c>
      <c r="Y152" s="128"/>
      <c r="Z152" s="128"/>
      <c r="AA152" s="128"/>
      <c r="AB152" s="128"/>
      <c r="AC152" s="128"/>
      <c r="AD152" s="128"/>
      <c r="AE152" s="128"/>
      <c r="AF152" s="128"/>
      <c r="AG152" s="128"/>
    </row>
    <row r="153" spans="16:33" ht="13.2">
      <c r="P153" s="46"/>
      <c r="Q153" s="46"/>
      <c r="S153" s="128"/>
      <c r="T153" s="128"/>
      <c r="V153" s="75">
        <v>0</v>
      </c>
      <c r="W153" s="75">
        <v>0</v>
      </c>
      <c r="Y153" s="128"/>
      <c r="Z153" s="128"/>
      <c r="AA153" s="128"/>
      <c r="AB153" s="128"/>
      <c r="AC153" s="128"/>
      <c r="AD153" s="128"/>
      <c r="AE153" s="128"/>
      <c r="AF153" s="128"/>
      <c r="AG153" s="128"/>
    </row>
    <row r="154" spans="16:33" ht="13.2">
      <c r="P154" s="46"/>
      <c r="Q154" s="46"/>
      <c r="S154" s="128"/>
      <c r="T154" s="128"/>
      <c r="V154" s="75">
        <v>0</v>
      </c>
      <c r="W154" s="75">
        <v>0</v>
      </c>
      <c r="Y154" s="128"/>
      <c r="Z154" s="128"/>
      <c r="AA154" s="128"/>
      <c r="AB154" s="128"/>
      <c r="AC154" s="128"/>
      <c r="AD154" s="128"/>
      <c r="AE154" s="128"/>
      <c r="AF154" s="128"/>
      <c r="AG154" s="128"/>
    </row>
    <row r="155" spans="16:33" ht="13.2">
      <c r="P155" s="46"/>
      <c r="Q155" s="46"/>
      <c r="S155" s="128"/>
      <c r="T155" s="128"/>
      <c r="V155" s="75">
        <v>0</v>
      </c>
      <c r="W155" s="75">
        <v>0</v>
      </c>
      <c r="Y155" s="128"/>
      <c r="Z155" s="128"/>
      <c r="AA155" s="128"/>
      <c r="AB155" s="128"/>
      <c r="AC155" s="128"/>
      <c r="AD155" s="128"/>
      <c r="AE155" s="128"/>
      <c r="AF155" s="128"/>
      <c r="AG155" s="128"/>
    </row>
    <row r="156" spans="16:33" ht="13.2">
      <c r="P156" s="46"/>
      <c r="Q156" s="46"/>
      <c r="S156" s="128"/>
      <c r="T156" s="128"/>
      <c r="V156" s="75">
        <v>0</v>
      </c>
      <c r="W156" s="75">
        <v>0</v>
      </c>
      <c r="Y156" s="128"/>
      <c r="Z156" s="128"/>
      <c r="AA156" s="128"/>
      <c r="AB156" s="128"/>
      <c r="AC156" s="128"/>
      <c r="AD156" s="128"/>
      <c r="AE156" s="128"/>
      <c r="AF156" s="128"/>
      <c r="AG156" s="128"/>
    </row>
    <row r="157" spans="16:33" ht="13.2">
      <c r="P157" s="46"/>
      <c r="Q157" s="46"/>
      <c r="S157" s="128"/>
      <c r="T157" s="128"/>
      <c r="V157" s="75">
        <v>0</v>
      </c>
      <c r="W157" s="75">
        <v>0</v>
      </c>
      <c r="Y157" s="128"/>
      <c r="Z157" s="128"/>
      <c r="AA157" s="128"/>
      <c r="AB157" s="128"/>
      <c r="AC157" s="128"/>
      <c r="AD157" s="128"/>
      <c r="AE157" s="128"/>
      <c r="AF157" s="128"/>
      <c r="AG157" s="128"/>
    </row>
    <row r="158" spans="16:33" ht="13.2">
      <c r="P158" s="46"/>
      <c r="Q158" s="46"/>
      <c r="S158" s="128"/>
      <c r="T158" s="128"/>
      <c r="V158" s="75">
        <v>0</v>
      </c>
      <c r="W158" s="75">
        <v>0</v>
      </c>
      <c r="Y158" s="128"/>
      <c r="Z158" s="128"/>
      <c r="AA158" s="128"/>
      <c r="AB158" s="128"/>
      <c r="AC158" s="128"/>
      <c r="AD158" s="128"/>
      <c r="AE158" s="128"/>
      <c r="AF158" s="128"/>
      <c r="AG158" s="128"/>
    </row>
    <row r="159" spans="16:33" ht="13.2">
      <c r="P159" s="46"/>
      <c r="Q159" s="46"/>
      <c r="S159" s="128"/>
      <c r="T159" s="128"/>
      <c r="V159" s="75">
        <v>0</v>
      </c>
      <c r="W159" s="75">
        <v>0</v>
      </c>
      <c r="Y159" s="128"/>
      <c r="Z159" s="128"/>
      <c r="AA159" s="128"/>
      <c r="AB159" s="128"/>
      <c r="AC159" s="128"/>
      <c r="AD159" s="128"/>
      <c r="AE159" s="128"/>
      <c r="AF159" s="128"/>
      <c r="AG159" s="128"/>
    </row>
    <row r="160" spans="16:33" ht="13.2">
      <c r="P160" s="46"/>
      <c r="Q160" s="46"/>
      <c r="S160" s="128"/>
      <c r="T160" s="128"/>
      <c r="V160" s="75">
        <v>0</v>
      </c>
      <c r="W160" s="75">
        <v>0</v>
      </c>
      <c r="Y160" s="128"/>
      <c r="Z160" s="128"/>
      <c r="AA160" s="128"/>
      <c r="AB160" s="128"/>
      <c r="AC160" s="128"/>
      <c r="AD160" s="128"/>
      <c r="AE160" s="128"/>
      <c r="AF160" s="128"/>
      <c r="AG160" s="128"/>
    </row>
    <row r="161" spans="16:33" ht="13.2">
      <c r="P161" s="46"/>
      <c r="Q161" s="46"/>
      <c r="S161" s="128"/>
      <c r="T161" s="128"/>
      <c r="V161" s="75">
        <v>0</v>
      </c>
      <c r="W161" s="75">
        <v>0</v>
      </c>
      <c r="Y161" s="128"/>
      <c r="Z161" s="128"/>
      <c r="AA161" s="128"/>
      <c r="AB161" s="128"/>
      <c r="AC161" s="128"/>
      <c r="AD161" s="128"/>
      <c r="AE161" s="128"/>
      <c r="AF161" s="128"/>
      <c r="AG161" s="128"/>
    </row>
    <row r="162" spans="16:33" ht="13.2">
      <c r="P162" s="46"/>
      <c r="Q162" s="46"/>
      <c r="S162" s="128"/>
      <c r="T162" s="128"/>
      <c r="V162" s="75">
        <v>0</v>
      </c>
      <c r="W162" s="75">
        <v>0</v>
      </c>
      <c r="Y162" s="128"/>
      <c r="Z162" s="128"/>
      <c r="AA162" s="128"/>
      <c r="AB162" s="128"/>
      <c r="AC162" s="128"/>
      <c r="AD162" s="128"/>
      <c r="AE162" s="128"/>
      <c r="AF162" s="128"/>
      <c r="AG162" s="128"/>
    </row>
    <row r="163" spans="16:33" ht="13.2">
      <c r="P163" s="46"/>
      <c r="Q163" s="46"/>
      <c r="S163" s="128"/>
      <c r="T163" s="128"/>
      <c r="V163" s="75">
        <v>0</v>
      </c>
      <c r="W163" s="75">
        <v>0</v>
      </c>
      <c r="Y163" s="128"/>
      <c r="Z163" s="128"/>
      <c r="AA163" s="128"/>
      <c r="AB163" s="128"/>
      <c r="AC163" s="128"/>
      <c r="AD163" s="128"/>
      <c r="AE163" s="128"/>
      <c r="AF163" s="128"/>
      <c r="AG163" s="128"/>
    </row>
    <row r="164" spans="16:33" ht="13.2">
      <c r="P164" s="46"/>
      <c r="Q164" s="46"/>
      <c r="S164" s="128"/>
      <c r="T164" s="128"/>
      <c r="V164" s="75">
        <v>0</v>
      </c>
      <c r="W164" s="75">
        <v>0</v>
      </c>
      <c r="Y164" s="128"/>
      <c r="Z164" s="128"/>
      <c r="AA164" s="128"/>
      <c r="AB164" s="128"/>
      <c r="AC164" s="128"/>
      <c r="AD164" s="128"/>
      <c r="AE164" s="128"/>
      <c r="AF164" s="128"/>
      <c r="AG164" s="128"/>
    </row>
    <row r="165" spans="16:33" ht="13.2">
      <c r="P165" s="46"/>
      <c r="Q165" s="46"/>
      <c r="S165" s="128"/>
      <c r="T165" s="128"/>
      <c r="V165" s="75">
        <v>0</v>
      </c>
      <c r="W165" s="75">
        <v>0</v>
      </c>
      <c r="Y165" s="128"/>
      <c r="Z165" s="128"/>
      <c r="AA165" s="128"/>
      <c r="AB165" s="128"/>
      <c r="AC165" s="128"/>
      <c r="AD165" s="128"/>
      <c r="AE165" s="128"/>
      <c r="AF165" s="128"/>
      <c r="AG165" s="128"/>
    </row>
    <row r="166" spans="16:33" ht="13.2">
      <c r="P166" s="46"/>
      <c r="Q166" s="46"/>
      <c r="S166" s="128"/>
      <c r="T166" s="128"/>
      <c r="V166" s="75">
        <v>0</v>
      </c>
      <c r="W166" s="75">
        <v>0</v>
      </c>
      <c r="Y166" s="128"/>
      <c r="Z166" s="128"/>
      <c r="AA166" s="128"/>
      <c r="AB166" s="128"/>
      <c r="AC166" s="128"/>
      <c r="AD166" s="128"/>
      <c r="AE166" s="128"/>
      <c r="AF166" s="128"/>
      <c r="AG166" s="128"/>
    </row>
    <row r="167" spans="16:33" ht="13.2">
      <c r="P167" s="46"/>
      <c r="Q167" s="46"/>
      <c r="S167" s="128"/>
      <c r="T167" s="128"/>
      <c r="V167" s="75">
        <v>0</v>
      </c>
      <c r="W167" s="75">
        <v>0</v>
      </c>
      <c r="Y167" s="128"/>
      <c r="Z167" s="128"/>
      <c r="AA167" s="128"/>
      <c r="AB167" s="128"/>
      <c r="AC167" s="128"/>
      <c r="AD167" s="128"/>
      <c r="AE167" s="128"/>
      <c r="AF167" s="128"/>
      <c r="AG167" s="128"/>
    </row>
    <row r="168" spans="16:33" ht="13.2">
      <c r="P168" s="46"/>
      <c r="Q168" s="46"/>
      <c r="S168" s="128"/>
      <c r="T168" s="128"/>
      <c r="V168" s="75">
        <v>0</v>
      </c>
      <c r="W168" s="75">
        <v>0</v>
      </c>
      <c r="Y168" s="128"/>
      <c r="Z168" s="128"/>
      <c r="AA168" s="128"/>
      <c r="AB168" s="128"/>
      <c r="AC168" s="128"/>
      <c r="AD168" s="128"/>
      <c r="AE168" s="128"/>
      <c r="AF168" s="128"/>
      <c r="AG168" s="128"/>
    </row>
    <row r="169" spans="16:33" ht="13.2">
      <c r="P169" s="46"/>
      <c r="Q169" s="46"/>
      <c r="S169" s="128"/>
      <c r="T169" s="128"/>
      <c r="V169" s="75">
        <v>0</v>
      </c>
      <c r="W169" s="75">
        <v>0</v>
      </c>
      <c r="Y169" s="128"/>
      <c r="Z169" s="128"/>
      <c r="AA169" s="128"/>
      <c r="AB169" s="128"/>
      <c r="AC169" s="128"/>
      <c r="AD169" s="128"/>
      <c r="AE169" s="128"/>
      <c r="AF169" s="128"/>
      <c r="AG169" s="128"/>
    </row>
    <row r="170" spans="16:33" ht="13.2">
      <c r="P170" s="46"/>
      <c r="Q170" s="46"/>
      <c r="S170" s="128"/>
      <c r="T170" s="128"/>
      <c r="V170" s="75">
        <v>0</v>
      </c>
      <c r="W170" s="75">
        <v>0</v>
      </c>
      <c r="Y170" s="128"/>
      <c r="Z170" s="128"/>
      <c r="AA170" s="128"/>
      <c r="AB170" s="128"/>
      <c r="AC170" s="128"/>
      <c r="AD170" s="128"/>
      <c r="AE170" s="128"/>
      <c r="AF170" s="128"/>
      <c r="AG170" s="128"/>
    </row>
    <row r="171" spans="16:33" ht="13.2">
      <c r="P171" s="46"/>
      <c r="Q171" s="46"/>
      <c r="S171" s="128"/>
      <c r="T171" s="128"/>
      <c r="V171" s="75">
        <v>0</v>
      </c>
      <c r="W171" s="75">
        <v>0</v>
      </c>
      <c r="Y171" s="128"/>
      <c r="Z171" s="128"/>
      <c r="AA171" s="128"/>
      <c r="AB171" s="128"/>
      <c r="AC171" s="128"/>
      <c r="AD171" s="128"/>
      <c r="AE171" s="128"/>
      <c r="AF171" s="128"/>
      <c r="AG171" s="128"/>
    </row>
    <row r="172" spans="16:33" ht="13.2">
      <c r="P172" s="46"/>
      <c r="Q172" s="46"/>
      <c r="S172" s="128"/>
      <c r="T172" s="128"/>
      <c r="V172" s="75">
        <v>0</v>
      </c>
      <c r="W172" s="75">
        <v>0</v>
      </c>
      <c r="Y172" s="128"/>
      <c r="Z172" s="128"/>
      <c r="AA172" s="128"/>
      <c r="AB172" s="128"/>
      <c r="AC172" s="128"/>
      <c r="AD172" s="128"/>
      <c r="AE172" s="128"/>
      <c r="AF172" s="128"/>
      <c r="AG172" s="128"/>
    </row>
    <row r="173" spans="16:33" ht="13.2">
      <c r="P173" s="46"/>
      <c r="Q173" s="46"/>
      <c r="S173" s="128"/>
      <c r="T173" s="128"/>
      <c r="V173" s="75">
        <v>0</v>
      </c>
      <c r="W173" s="75">
        <v>0</v>
      </c>
      <c r="Y173" s="128"/>
      <c r="Z173" s="128"/>
      <c r="AA173" s="128"/>
      <c r="AB173" s="128"/>
      <c r="AC173" s="128"/>
      <c r="AD173" s="128"/>
      <c r="AE173" s="128"/>
      <c r="AF173" s="128"/>
      <c r="AG173" s="128"/>
    </row>
    <row r="174" spans="16:33" ht="13.2">
      <c r="P174" s="46"/>
      <c r="Q174" s="46"/>
      <c r="S174" s="128"/>
      <c r="T174" s="128"/>
      <c r="V174" s="75">
        <v>0</v>
      </c>
      <c r="W174" s="75">
        <v>0</v>
      </c>
      <c r="Y174" s="128"/>
      <c r="Z174" s="128"/>
      <c r="AA174" s="128"/>
      <c r="AB174" s="128"/>
      <c r="AC174" s="128"/>
      <c r="AD174" s="128"/>
      <c r="AE174" s="128"/>
      <c r="AF174" s="128"/>
      <c r="AG174" s="128"/>
    </row>
    <row r="175" spans="16:33" ht="13.2">
      <c r="P175" s="46"/>
      <c r="Q175" s="46"/>
      <c r="S175" s="128"/>
      <c r="T175" s="128"/>
      <c r="V175" s="75">
        <v>0</v>
      </c>
      <c r="W175" s="75">
        <v>0</v>
      </c>
      <c r="Y175" s="128"/>
      <c r="Z175" s="128"/>
      <c r="AA175" s="128"/>
      <c r="AB175" s="128"/>
      <c r="AC175" s="128"/>
      <c r="AD175" s="128"/>
      <c r="AE175" s="128"/>
      <c r="AF175" s="128"/>
      <c r="AG175" s="128"/>
    </row>
    <row r="176" spans="16:33" ht="13.2">
      <c r="P176" s="46"/>
      <c r="Q176" s="46"/>
      <c r="S176" s="128"/>
      <c r="T176" s="128"/>
      <c r="V176" s="75">
        <v>0</v>
      </c>
      <c r="W176" s="75">
        <v>0</v>
      </c>
      <c r="Y176" s="128"/>
      <c r="Z176" s="128"/>
      <c r="AA176" s="128"/>
      <c r="AB176" s="128"/>
      <c r="AC176" s="128"/>
      <c r="AD176" s="128"/>
      <c r="AE176" s="128"/>
      <c r="AF176" s="128"/>
      <c r="AG176" s="128"/>
    </row>
    <row r="177" spans="16:33" ht="13.2">
      <c r="P177" s="46"/>
      <c r="Q177" s="46"/>
      <c r="S177" s="128"/>
      <c r="T177" s="128"/>
      <c r="V177" s="75">
        <v>0</v>
      </c>
      <c r="W177" s="75">
        <v>0</v>
      </c>
      <c r="Y177" s="128"/>
      <c r="Z177" s="128"/>
      <c r="AA177" s="128"/>
      <c r="AB177" s="128"/>
      <c r="AC177" s="128"/>
      <c r="AD177" s="128"/>
      <c r="AE177" s="128"/>
      <c r="AF177" s="128"/>
      <c r="AG177" s="128"/>
    </row>
    <row r="178" spans="16:33" ht="13.2">
      <c r="P178" s="46"/>
      <c r="Q178" s="46"/>
      <c r="S178" s="128"/>
      <c r="T178" s="128"/>
      <c r="V178" s="75">
        <v>0</v>
      </c>
      <c r="W178" s="75">
        <v>0</v>
      </c>
      <c r="Y178" s="128"/>
      <c r="Z178" s="128"/>
      <c r="AA178" s="128"/>
      <c r="AB178" s="128"/>
      <c r="AC178" s="128"/>
      <c r="AD178" s="128"/>
      <c r="AE178" s="128"/>
      <c r="AF178" s="128"/>
      <c r="AG178" s="128"/>
    </row>
    <row r="179" spans="16:33" ht="13.2">
      <c r="P179" s="46"/>
      <c r="Q179" s="46"/>
      <c r="S179" s="128"/>
      <c r="T179" s="128"/>
      <c r="V179" s="75">
        <v>0</v>
      </c>
      <c r="W179" s="75">
        <v>0</v>
      </c>
      <c r="Y179" s="128"/>
      <c r="Z179" s="128"/>
      <c r="AA179" s="128"/>
      <c r="AB179" s="128"/>
      <c r="AC179" s="128"/>
      <c r="AD179" s="128"/>
      <c r="AE179" s="128"/>
      <c r="AF179" s="128"/>
      <c r="AG179" s="128"/>
    </row>
    <row r="180" spans="16:33" ht="13.2">
      <c r="P180" s="46"/>
      <c r="Q180" s="46"/>
      <c r="S180" s="128"/>
      <c r="T180" s="128"/>
      <c r="V180" s="75">
        <v>0</v>
      </c>
      <c r="W180" s="75">
        <v>0</v>
      </c>
      <c r="Y180" s="128"/>
      <c r="Z180" s="128"/>
      <c r="AA180" s="128"/>
      <c r="AB180" s="128"/>
      <c r="AC180" s="128"/>
      <c r="AD180" s="128"/>
      <c r="AE180" s="128"/>
      <c r="AF180" s="128"/>
      <c r="AG180" s="128"/>
    </row>
    <row r="181" spans="16:33" ht="13.2">
      <c r="P181" s="46"/>
      <c r="Q181" s="46"/>
      <c r="S181" s="128"/>
      <c r="T181" s="128"/>
      <c r="V181" s="75">
        <v>0</v>
      </c>
      <c r="W181" s="75">
        <v>0</v>
      </c>
      <c r="Y181" s="128"/>
      <c r="Z181" s="128"/>
      <c r="AA181" s="128"/>
      <c r="AB181" s="128"/>
      <c r="AC181" s="128"/>
      <c r="AD181" s="128"/>
      <c r="AE181" s="128"/>
      <c r="AF181" s="128"/>
      <c r="AG181" s="128"/>
    </row>
    <row r="182" spans="16:33" ht="13.2">
      <c r="P182" s="46"/>
      <c r="Q182" s="46"/>
      <c r="S182" s="128"/>
      <c r="T182" s="128"/>
      <c r="V182" s="75">
        <v>0</v>
      </c>
      <c r="W182" s="75">
        <v>0</v>
      </c>
      <c r="Y182" s="128"/>
      <c r="Z182" s="128"/>
      <c r="AA182" s="128"/>
      <c r="AB182" s="128"/>
      <c r="AC182" s="128"/>
      <c r="AD182" s="128"/>
      <c r="AE182" s="128"/>
      <c r="AF182" s="128"/>
      <c r="AG182" s="128"/>
    </row>
    <row r="183" spans="16:33" ht="13.2">
      <c r="P183" s="46"/>
      <c r="Q183" s="46"/>
      <c r="S183" s="128"/>
      <c r="T183" s="128"/>
      <c r="V183" s="75">
        <v>0</v>
      </c>
      <c r="W183" s="75">
        <v>0</v>
      </c>
      <c r="Y183" s="128"/>
      <c r="Z183" s="128"/>
      <c r="AA183" s="128"/>
      <c r="AB183" s="128"/>
      <c r="AC183" s="128"/>
      <c r="AD183" s="128"/>
      <c r="AE183" s="128"/>
      <c r="AF183" s="128"/>
      <c r="AG183" s="128"/>
    </row>
    <row r="184" spans="16:33" ht="13.2">
      <c r="P184" s="46"/>
      <c r="Q184" s="46"/>
      <c r="S184" s="128"/>
      <c r="T184" s="128"/>
      <c r="V184" s="75">
        <v>0</v>
      </c>
      <c r="W184" s="75">
        <v>0</v>
      </c>
      <c r="Y184" s="128"/>
      <c r="Z184" s="128"/>
      <c r="AA184" s="128"/>
      <c r="AB184" s="128"/>
      <c r="AC184" s="128"/>
      <c r="AD184" s="128"/>
      <c r="AE184" s="128"/>
      <c r="AF184" s="128"/>
      <c r="AG184" s="128"/>
    </row>
    <row r="185" spans="16:33" ht="13.2">
      <c r="P185" s="46"/>
      <c r="Q185" s="46"/>
      <c r="S185" s="128"/>
      <c r="T185" s="128"/>
      <c r="V185" s="75">
        <v>0</v>
      </c>
      <c r="W185" s="75">
        <v>0</v>
      </c>
      <c r="Y185" s="128"/>
      <c r="Z185" s="128"/>
      <c r="AA185" s="128"/>
      <c r="AB185" s="128"/>
      <c r="AC185" s="128"/>
      <c r="AD185" s="128"/>
      <c r="AE185" s="128"/>
      <c r="AF185" s="128"/>
      <c r="AG185" s="128"/>
    </row>
    <row r="186" spans="16:33" ht="13.2">
      <c r="P186" s="46"/>
      <c r="Q186" s="46"/>
      <c r="S186" s="128"/>
      <c r="T186" s="128"/>
      <c r="V186" s="75">
        <v>0</v>
      </c>
      <c r="W186" s="75">
        <v>0</v>
      </c>
      <c r="Y186" s="128"/>
      <c r="Z186" s="128"/>
      <c r="AA186" s="128"/>
      <c r="AB186" s="128"/>
      <c r="AC186" s="128"/>
      <c r="AD186" s="128"/>
      <c r="AE186" s="128"/>
      <c r="AF186" s="128"/>
      <c r="AG186" s="128"/>
    </row>
    <row r="187" spans="16:33" ht="13.2">
      <c r="P187" s="46"/>
      <c r="Q187" s="46"/>
      <c r="S187" s="128"/>
      <c r="T187" s="128"/>
      <c r="V187" s="75">
        <v>0</v>
      </c>
      <c r="W187" s="75">
        <v>0</v>
      </c>
      <c r="Y187" s="128"/>
      <c r="Z187" s="128"/>
      <c r="AA187" s="128"/>
      <c r="AB187" s="128"/>
      <c r="AC187" s="128"/>
      <c r="AD187" s="128"/>
      <c r="AE187" s="128"/>
      <c r="AF187" s="128"/>
      <c r="AG187" s="128"/>
    </row>
    <row r="188" spans="16:33" ht="13.2">
      <c r="P188" s="46"/>
      <c r="Q188" s="46"/>
      <c r="S188" s="128"/>
      <c r="T188" s="128"/>
      <c r="V188" s="75">
        <v>0</v>
      </c>
      <c r="W188" s="75">
        <v>0</v>
      </c>
      <c r="Y188" s="128"/>
      <c r="Z188" s="128"/>
      <c r="AA188" s="128"/>
      <c r="AB188" s="128"/>
      <c r="AC188" s="128"/>
      <c r="AD188" s="128"/>
      <c r="AE188" s="128"/>
      <c r="AF188" s="128"/>
      <c r="AG188" s="128"/>
    </row>
    <row r="189" spans="16:33" ht="13.2">
      <c r="P189" s="46"/>
      <c r="Q189" s="46"/>
      <c r="S189" s="128"/>
      <c r="T189" s="128"/>
      <c r="V189" s="75">
        <v>0</v>
      </c>
      <c r="W189" s="75">
        <v>0</v>
      </c>
      <c r="Y189" s="128"/>
      <c r="Z189" s="128"/>
      <c r="AA189" s="128"/>
      <c r="AB189" s="128"/>
      <c r="AC189" s="128"/>
      <c r="AD189" s="128"/>
      <c r="AE189" s="128"/>
      <c r="AF189" s="128"/>
      <c r="AG189" s="128"/>
    </row>
    <row r="190" spans="16:33" ht="13.2">
      <c r="P190" s="46"/>
      <c r="Q190" s="46"/>
      <c r="S190" s="128"/>
      <c r="T190" s="128"/>
      <c r="V190" s="75">
        <v>0</v>
      </c>
      <c r="W190" s="75">
        <v>0</v>
      </c>
      <c r="Y190" s="128"/>
      <c r="Z190" s="128"/>
      <c r="AA190" s="128"/>
      <c r="AB190" s="128"/>
      <c r="AC190" s="128"/>
      <c r="AD190" s="128"/>
      <c r="AE190" s="128"/>
      <c r="AF190" s="128"/>
      <c r="AG190" s="128"/>
    </row>
    <row r="191" spans="16:33" ht="13.2">
      <c r="P191" s="46"/>
      <c r="Q191" s="46"/>
      <c r="S191" s="128"/>
      <c r="T191" s="128"/>
      <c r="V191" s="75">
        <v>0</v>
      </c>
      <c r="W191" s="75">
        <v>0</v>
      </c>
      <c r="Y191" s="128"/>
      <c r="Z191" s="128"/>
      <c r="AA191" s="128"/>
      <c r="AB191" s="128"/>
      <c r="AC191" s="128"/>
      <c r="AD191" s="128"/>
      <c r="AE191" s="128"/>
      <c r="AF191" s="128"/>
      <c r="AG191" s="128"/>
    </row>
    <row r="192" spans="16:33" ht="13.2">
      <c r="P192" s="46"/>
      <c r="Q192" s="46"/>
      <c r="S192" s="128"/>
      <c r="T192" s="128"/>
      <c r="V192" s="75">
        <v>0</v>
      </c>
      <c r="W192" s="75">
        <v>0</v>
      </c>
      <c r="Y192" s="128"/>
      <c r="Z192" s="128"/>
      <c r="AA192" s="128"/>
      <c r="AB192" s="128"/>
      <c r="AC192" s="128"/>
      <c r="AD192" s="128"/>
      <c r="AE192" s="128"/>
      <c r="AF192" s="128"/>
      <c r="AG192" s="128"/>
    </row>
    <row r="193" spans="16:33" ht="13.2">
      <c r="P193" s="46"/>
      <c r="Q193" s="46"/>
      <c r="S193" s="128"/>
      <c r="T193" s="128"/>
      <c r="V193" s="75">
        <v>0</v>
      </c>
      <c r="W193" s="75">
        <v>0</v>
      </c>
      <c r="Y193" s="128"/>
      <c r="Z193" s="128"/>
      <c r="AA193" s="128"/>
      <c r="AB193" s="128"/>
      <c r="AC193" s="128"/>
      <c r="AD193" s="128"/>
      <c r="AE193" s="128"/>
      <c r="AF193" s="128"/>
      <c r="AG193" s="128"/>
    </row>
    <row r="194" spans="16:33" ht="13.2">
      <c r="P194" s="46"/>
      <c r="Q194" s="46"/>
      <c r="S194" s="128"/>
      <c r="T194" s="128"/>
      <c r="V194" s="75">
        <v>0</v>
      </c>
      <c r="W194" s="75">
        <v>0</v>
      </c>
      <c r="Y194" s="128"/>
      <c r="Z194" s="128"/>
      <c r="AA194" s="128"/>
      <c r="AB194" s="128"/>
      <c r="AC194" s="128"/>
      <c r="AD194" s="128"/>
      <c r="AE194" s="128"/>
      <c r="AF194" s="128"/>
      <c r="AG194" s="128"/>
    </row>
    <row r="195" spans="16:33" ht="13.2">
      <c r="P195" s="46"/>
      <c r="Q195" s="46"/>
      <c r="S195" s="128"/>
      <c r="T195" s="128"/>
      <c r="V195" s="75">
        <v>0</v>
      </c>
      <c r="W195" s="75">
        <v>0</v>
      </c>
      <c r="Y195" s="128"/>
      <c r="Z195" s="128"/>
      <c r="AA195" s="128"/>
      <c r="AB195" s="128"/>
      <c r="AC195" s="128"/>
      <c r="AD195" s="128"/>
      <c r="AE195" s="128"/>
      <c r="AF195" s="128"/>
      <c r="AG195" s="128"/>
    </row>
    <row r="196" spans="16:33" ht="13.2">
      <c r="P196" s="46"/>
      <c r="Q196" s="46"/>
      <c r="S196" s="128"/>
      <c r="T196" s="128"/>
      <c r="V196" s="75">
        <v>0</v>
      </c>
      <c r="W196" s="75">
        <v>0</v>
      </c>
      <c r="Y196" s="128"/>
      <c r="Z196" s="128"/>
      <c r="AA196" s="128"/>
      <c r="AB196" s="128"/>
      <c r="AC196" s="128"/>
      <c r="AD196" s="128"/>
      <c r="AE196" s="128"/>
      <c r="AF196" s="128"/>
      <c r="AG196" s="128"/>
    </row>
    <row r="197" spans="16:33" ht="13.2">
      <c r="P197" s="46"/>
      <c r="Q197" s="46"/>
      <c r="S197" s="128"/>
      <c r="T197" s="128"/>
      <c r="V197" s="75">
        <v>0</v>
      </c>
      <c r="W197" s="75">
        <v>0</v>
      </c>
      <c r="Y197" s="128"/>
      <c r="Z197" s="128"/>
      <c r="AA197" s="128"/>
      <c r="AB197" s="128"/>
      <c r="AC197" s="128"/>
      <c r="AD197" s="128"/>
      <c r="AE197" s="128"/>
      <c r="AF197" s="128"/>
      <c r="AG197" s="128"/>
    </row>
    <row r="198" spans="16:33" ht="13.2">
      <c r="P198" s="46"/>
      <c r="Q198" s="46"/>
      <c r="S198" s="128"/>
      <c r="T198" s="128"/>
      <c r="V198" s="75">
        <v>0</v>
      </c>
      <c r="W198" s="75">
        <v>0</v>
      </c>
      <c r="Y198" s="128"/>
      <c r="Z198" s="128"/>
      <c r="AA198" s="128"/>
      <c r="AB198" s="128"/>
      <c r="AC198" s="128"/>
      <c r="AD198" s="128"/>
      <c r="AE198" s="128"/>
      <c r="AF198" s="128"/>
      <c r="AG198" s="128"/>
    </row>
    <row r="199" spans="16:33" ht="13.2">
      <c r="P199" s="46"/>
      <c r="Q199" s="46"/>
      <c r="S199" s="128"/>
      <c r="T199" s="128"/>
      <c r="V199" s="75">
        <v>0</v>
      </c>
      <c r="W199" s="75">
        <v>0</v>
      </c>
      <c r="Y199" s="128"/>
      <c r="Z199" s="128"/>
      <c r="AA199" s="128"/>
      <c r="AB199" s="128"/>
      <c r="AC199" s="128"/>
      <c r="AD199" s="128"/>
      <c r="AE199" s="128"/>
      <c r="AF199" s="128"/>
      <c r="AG199" s="128"/>
    </row>
    <row r="200" spans="16:33" ht="13.2">
      <c r="P200" s="46"/>
      <c r="Q200" s="46"/>
      <c r="S200" s="128"/>
      <c r="T200" s="128"/>
      <c r="V200" s="75">
        <v>0</v>
      </c>
      <c r="W200" s="75">
        <v>0</v>
      </c>
      <c r="Y200" s="128"/>
      <c r="Z200" s="128"/>
      <c r="AA200" s="128"/>
      <c r="AB200" s="128"/>
      <c r="AC200" s="128"/>
      <c r="AD200" s="128"/>
      <c r="AE200" s="128"/>
      <c r="AF200" s="128"/>
      <c r="AG200" s="128"/>
    </row>
    <row r="201" spans="16:33" ht="13.2">
      <c r="P201" s="46"/>
      <c r="Q201" s="46"/>
      <c r="S201" s="128"/>
      <c r="T201" s="128"/>
      <c r="V201" s="75">
        <v>0</v>
      </c>
      <c r="W201" s="75">
        <v>0</v>
      </c>
      <c r="Y201" s="128"/>
      <c r="Z201" s="128"/>
      <c r="AA201" s="128"/>
      <c r="AB201" s="128"/>
      <c r="AC201" s="128"/>
      <c r="AD201" s="128"/>
      <c r="AE201" s="128"/>
      <c r="AF201" s="128"/>
      <c r="AG201" s="128"/>
    </row>
    <row r="202" spans="16:33" ht="13.2">
      <c r="P202" s="46"/>
      <c r="Q202" s="46"/>
      <c r="S202" s="128"/>
      <c r="T202" s="128"/>
      <c r="V202" s="75">
        <v>0</v>
      </c>
      <c r="W202" s="75">
        <v>0</v>
      </c>
      <c r="Y202" s="128"/>
      <c r="Z202" s="128"/>
      <c r="AA202" s="128"/>
      <c r="AB202" s="128"/>
      <c r="AC202" s="128"/>
      <c r="AD202" s="128"/>
      <c r="AE202" s="128"/>
      <c r="AF202" s="128"/>
      <c r="AG202" s="128"/>
    </row>
    <row r="203" spans="16:33" ht="13.2">
      <c r="P203" s="46"/>
      <c r="Q203" s="46"/>
      <c r="S203" s="128"/>
      <c r="T203" s="128"/>
      <c r="V203" s="75">
        <v>0</v>
      </c>
      <c r="W203" s="75">
        <v>0</v>
      </c>
      <c r="Y203" s="128"/>
      <c r="Z203" s="128"/>
      <c r="AA203" s="128"/>
      <c r="AB203" s="128"/>
      <c r="AC203" s="128"/>
      <c r="AD203" s="128"/>
      <c r="AE203" s="128"/>
      <c r="AF203" s="128"/>
      <c r="AG203" s="128"/>
    </row>
    <row r="204" spans="16:33" ht="13.2">
      <c r="P204" s="46"/>
      <c r="Q204" s="46"/>
      <c r="S204" s="128"/>
      <c r="T204" s="128"/>
      <c r="V204" s="75">
        <v>0</v>
      </c>
      <c r="W204" s="75">
        <v>0</v>
      </c>
      <c r="Y204" s="128"/>
      <c r="Z204" s="128"/>
      <c r="AA204" s="128"/>
      <c r="AB204" s="128"/>
      <c r="AC204" s="128"/>
      <c r="AD204" s="128"/>
      <c r="AE204" s="128"/>
      <c r="AF204" s="128"/>
      <c r="AG204" s="128"/>
    </row>
    <row r="205" spans="16:33" ht="13.2">
      <c r="P205" s="46"/>
      <c r="Q205" s="46"/>
      <c r="S205" s="128"/>
      <c r="T205" s="128"/>
      <c r="V205" s="75">
        <v>0</v>
      </c>
      <c r="W205" s="75">
        <v>0</v>
      </c>
      <c r="Y205" s="128"/>
      <c r="Z205" s="128"/>
      <c r="AA205" s="128"/>
      <c r="AB205" s="128"/>
      <c r="AC205" s="128"/>
      <c r="AD205" s="128"/>
      <c r="AE205" s="128"/>
      <c r="AF205" s="128"/>
      <c r="AG205" s="128"/>
    </row>
    <row r="206" spans="16:33" ht="13.2">
      <c r="P206" s="46"/>
      <c r="Q206" s="46"/>
      <c r="S206" s="128"/>
      <c r="T206" s="128"/>
      <c r="V206" s="75">
        <v>0</v>
      </c>
      <c r="W206" s="75">
        <v>0</v>
      </c>
      <c r="Y206" s="128"/>
      <c r="Z206" s="128"/>
      <c r="AA206" s="128"/>
      <c r="AB206" s="128"/>
      <c r="AC206" s="128"/>
      <c r="AD206" s="128"/>
      <c r="AE206" s="128"/>
      <c r="AF206" s="128"/>
      <c r="AG206" s="128"/>
    </row>
    <row r="207" spans="16:33" ht="13.2">
      <c r="P207" s="46"/>
      <c r="Q207" s="46"/>
      <c r="S207" s="128"/>
      <c r="T207" s="128"/>
      <c r="V207" s="75">
        <v>0</v>
      </c>
      <c r="W207" s="75">
        <v>0</v>
      </c>
      <c r="Y207" s="128"/>
      <c r="Z207" s="128"/>
      <c r="AA207" s="128"/>
      <c r="AB207" s="128"/>
      <c r="AC207" s="128"/>
      <c r="AD207" s="128"/>
      <c r="AE207" s="128"/>
      <c r="AF207" s="128"/>
      <c r="AG207" s="128"/>
    </row>
    <row r="208" spans="16:33" ht="13.2">
      <c r="P208" s="46"/>
      <c r="Q208" s="46"/>
      <c r="S208" s="128"/>
      <c r="T208" s="128"/>
      <c r="V208" s="75">
        <v>0</v>
      </c>
      <c r="W208" s="75">
        <v>0</v>
      </c>
      <c r="Y208" s="128"/>
      <c r="Z208" s="128"/>
      <c r="AA208" s="128"/>
      <c r="AB208" s="128"/>
      <c r="AC208" s="128"/>
      <c r="AD208" s="128"/>
      <c r="AE208" s="128"/>
      <c r="AF208" s="128"/>
      <c r="AG208" s="128"/>
    </row>
    <row r="209" spans="16:33" ht="13.2">
      <c r="P209" s="46"/>
      <c r="Q209" s="46"/>
      <c r="S209" s="128"/>
      <c r="T209" s="128"/>
      <c r="V209" s="75">
        <v>0</v>
      </c>
      <c r="W209" s="75">
        <v>0</v>
      </c>
      <c r="Y209" s="128"/>
      <c r="Z209" s="128"/>
      <c r="AA209" s="128"/>
      <c r="AB209" s="128"/>
      <c r="AC209" s="128"/>
      <c r="AD209" s="128"/>
      <c r="AE209" s="128"/>
      <c r="AF209" s="128"/>
      <c r="AG209" s="128"/>
    </row>
    <row r="210" spans="16:33" ht="13.2">
      <c r="P210" s="46"/>
      <c r="Q210" s="46"/>
      <c r="S210" s="128"/>
      <c r="T210" s="128"/>
      <c r="V210" s="75">
        <v>0</v>
      </c>
      <c r="W210" s="75">
        <v>0</v>
      </c>
      <c r="Y210" s="128"/>
      <c r="Z210" s="128"/>
      <c r="AA210" s="128"/>
      <c r="AB210" s="128"/>
      <c r="AC210" s="128"/>
      <c r="AD210" s="128"/>
      <c r="AE210" s="128"/>
      <c r="AF210" s="128"/>
      <c r="AG210" s="128"/>
    </row>
    <row r="211" spans="16:33" ht="13.2">
      <c r="P211" s="46"/>
      <c r="Q211" s="46"/>
      <c r="S211" s="128"/>
      <c r="T211" s="128"/>
      <c r="V211" s="75">
        <v>0</v>
      </c>
      <c r="W211" s="75">
        <v>0</v>
      </c>
      <c r="Y211" s="128"/>
      <c r="Z211" s="128"/>
      <c r="AA211" s="128"/>
      <c r="AB211" s="128"/>
      <c r="AC211" s="128"/>
      <c r="AD211" s="128"/>
      <c r="AE211" s="128"/>
      <c r="AF211" s="128"/>
      <c r="AG211" s="128"/>
    </row>
    <row r="212" spans="16:33" ht="13.2">
      <c r="P212" s="46"/>
      <c r="Q212" s="46"/>
      <c r="S212" s="128"/>
      <c r="T212" s="128"/>
      <c r="V212" s="75">
        <v>0</v>
      </c>
      <c r="W212" s="75">
        <v>0</v>
      </c>
      <c r="Y212" s="128"/>
      <c r="Z212" s="128"/>
      <c r="AA212" s="128"/>
      <c r="AB212" s="128"/>
      <c r="AC212" s="128"/>
      <c r="AD212" s="128"/>
      <c r="AE212" s="128"/>
      <c r="AF212" s="128"/>
      <c r="AG212" s="128"/>
    </row>
    <row r="213" spans="16:33" ht="13.2">
      <c r="P213" s="46"/>
      <c r="Q213" s="46"/>
      <c r="S213" s="128"/>
      <c r="T213" s="128"/>
      <c r="V213" s="75">
        <v>0</v>
      </c>
      <c r="W213" s="75">
        <v>0</v>
      </c>
      <c r="Y213" s="128"/>
      <c r="Z213" s="128"/>
      <c r="AA213" s="128"/>
      <c r="AB213" s="128"/>
      <c r="AC213" s="128"/>
      <c r="AD213" s="128"/>
      <c r="AE213" s="128"/>
      <c r="AF213" s="128"/>
      <c r="AG213" s="128"/>
    </row>
    <row r="214" spans="16:33" ht="13.2">
      <c r="P214" s="46"/>
      <c r="Q214" s="46"/>
      <c r="S214" s="128"/>
      <c r="T214" s="128"/>
      <c r="V214" s="75">
        <v>0</v>
      </c>
      <c r="W214" s="75">
        <v>0</v>
      </c>
      <c r="Y214" s="128"/>
      <c r="Z214" s="128"/>
      <c r="AA214" s="128"/>
      <c r="AB214" s="128"/>
      <c r="AC214" s="128"/>
      <c r="AD214" s="128"/>
      <c r="AE214" s="128"/>
      <c r="AF214" s="128"/>
      <c r="AG214" s="128"/>
    </row>
    <row r="215" spans="16:33" ht="13.2">
      <c r="P215" s="46"/>
      <c r="Q215" s="46"/>
      <c r="S215" s="128"/>
      <c r="T215" s="128"/>
      <c r="V215" s="75">
        <v>0</v>
      </c>
      <c r="W215" s="75">
        <v>0</v>
      </c>
      <c r="Y215" s="128"/>
      <c r="Z215" s="128"/>
      <c r="AA215" s="128"/>
      <c r="AB215" s="128"/>
      <c r="AC215" s="128"/>
      <c r="AD215" s="128"/>
      <c r="AE215" s="128"/>
      <c r="AF215" s="128"/>
      <c r="AG215" s="128"/>
    </row>
    <row r="216" spans="16:33" ht="13.2">
      <c r="P216" s="46"/>
      <c r="Q216" s="46"/>
      <c r="S216" s="128"/>
      <c r="T216" s="128"/>
      <c r="V216" s="75">
        <v>0</v>
      </c>
      <c r="W216" s="75">
        <v>0</v>
      </c>
      <c r="Y216" s="128"/>
      <c r="Z216" s="128"/>
      <c r="AA216" s="128"/>
      <c r="AB216" s="128"/>
      <c r="AC216" s="128"/>
      <c r="AD216" s="128"/>
      <c r="AE216" s="128"/>
      <c r="AF216" s="128"/>
      <c r="AG216" s="128"/>
    </row>
    <row r="217" spans="16:33" ht="13.2">
      <c r="P217" s="46"/>
      <c r="Q217" s="46"/>
      <c r="S217" s="128"/>
      <c r="T217" s="128"/>
      <c r="V217" s="75">
        <v>0</v>
      </c>
      <c r="W217" s="75">
        <v>0</v>
      </c>
      <c r="Y217" s="128"/>
      <c r="Z217" s="128"/>
      <c r="AA217" s="128"/>
      <c r="AB217" s="128"/>
      <c r="AC217" s="128"/>
      <c r="AD217" s="128"/>
      <c r="AE217" s="128"/>
      <c r="AF217" s="128"/>
      <c r="AG217" s="128"/>
    </row>
    <row r="218" spans="16:33" ht="13.2">
      <c r="P218" s="46"/>
      <c r="Q218" s="46"/>
      <c r="S218" s="128"/>
      <c r="T218" s="128"/>
      <c r="V218" s="75">
        <v>0</v>
      </c>
      <c r="W218" s="75">
        <v>0</v>
      </c>
      <c r="Y218" s="128"/>
      <c r="Z218" s="128"/>
      <c r="AA218" s="128"/>
      <c r="AB218" s="128"/>
      <c r="AC218" s="128"/>
      <c r="AD218" s="128"/>
      <c r="AE218" s="128"/>
      <c r="AF218" s="128"/>
      <c r="AG218" s="128"/>
    </row>
    <row r="219" spans="16:33" ht="13.2">
      <c r="P219" s="46"/>
      <c r="Q219" s="46"/>
      <c r="S219" s="128"/>
      <c r="T219" s="128"/>
      <c r="V219" s="75">
        <v>0</v>
      </c>
      <c r="W219" s="75">
        <v>0</v>
      </c>
      <c r="Y219" s="128"/>
      <c r="Z219" s="128"/>
      <c r="AA219" s="128"/>
      <c r="AB219" s="128"/>
      <c r="AC219" s="128"/>
      <c r="AD219" s="128"/>
      <c r="AE219" s="128"/>
      <c r="AF219" s="128"/>
      <c r="AG219" s="128"/>
    </row>
    <row r="220" spans="16:33" ht="13.2">
      <c r="P220" s="46"/>
      <c r="Q220" s="46"/>
      <c r="S220" s="128"/>
      <c r="T220" s="128"/>
      <c r="V220" s="75">
        <v>0</v>
      </c>
      <c r="W220" s="75">
        <v>0</v>
      </c>
      <c r="Y220" s="128"/>
      <c r="Z220" s="128"/>
      <c r="AA220" s="128"/>
      <c r="AB220" s="128"/>
      <c r="AC220" s="128"/>
      <c r="AD220" s="128"/>
      <c r="AE220" s="128"/>
      <c r="AF220" s="128"/>
      <c r="AG220" s="128"/>
    </row>
    <row r="221" spans="16:33" ht="13.2">
      <c r="P221" s="46"/>
      <c r="Q221" s="46"/>
      <c r="S221" s="128"/>
      <c r="T221" s="128"/>
      <c r="V221" s="75">
        <v>0</v>
      </c>
      <c r="W221" s="75">
        <v>0</v>
      </c>
      <c r="Y221" s="128"/>
      <c r="Z221" s="128"/>
      <c r="AA221" s="128"/>
      <c r="AB221" s="128"/>
      <c r="AC221" s="128"/>
      <c r="AD221" s="128"/>
      <c r="AE221" s="128"/>
      <c r="AF221" s="128"/>
      <c r="AG221" s="128"/>
    </row>
    <row r="222" spans="16:33" ht="13.2">
      <c r="P222" s="46"/>
      <c r="Q222" s="46"/>
      <c r="S222" s="128"/>
      <c r="T222" s="128"/>
      <c r="V222" s="75">
        <v>0</v>
      </c>
      <c r="W222" s="75">
        <v>0</v>
      </c>
      <c r="Y222" s="128"/>
      <c r="Z222" s="128"/>
      <c r="AA222" s="128"/>
      <c r="AB222" s="128"/>
      <c r="AC222" s="128"/>
      <c r="AD222" s="128"/>
      <c r="AE222" s="128"/>
      <c r="AF222" s="128"/>
      <c r="AG222" s="128"/>
    </row>
    <row r="223" spans="16:33" ht="13.2">
      <c r="P223" s="46"/>
      <c r="Q223" s="46"/>
      <c r="S223" s="128"/>
      <c r="T223" s="128"/>
      <c r="V223" s="75">
        <v>0</v>
      </c>
      <c r="W223" s="75">
        <v>0</v>
      </c>
      <c r="Y223" s="128"/>
      <c r="Z223" s="128"/>
      <c r="AA223" s="128"/>
      <c r="AB223" s="128"/>
      <c r="AC223" s="128"/>
      <c r="AD223" s="128"/>
      <c r="AE223" s="128"/>
      <c r="AF223" s="128"/>
      <c r="AG223" s="128"/>
    </row>
    <row r="224" spans="16:33" ht="13.2">
      <c r="P224" s="46"/>
      <c r="Q224" s="46"/>
      <c r="S224" s="128"/>
      <c r="T224" s="128"/>
      <c r="V224" s="75">
        <v>0</v>
      </c>
      <c r="W224" s="75">
        <v>0</v>
      </c>
      <c r="Y224" s="128"/>
      <c r="Z224" s="128"/>
      <c r="AA224" s="128"/>
      <c r="AB224" s="128"/>
      <c r="AC224" s="128"/>
      <c r="AD224" s="128"/>
      <c r="AE224" s="128"/>
      <c r="AF224" s="128"/>
      <c r="AG224" s="128"/>
    </row>
    <row r="225" spans="16:33" ht="13.2">
      <c r="P225" s="46"/>
      <c r="Q225" s="46"/>
      <c r="S225" s="128"/>
      <c r="T225" s="128"/>
      <c r="V225" s="75">
        <v>0</v>
      </c>
      <c r="W225" s="75">
        <v>0</v>
      </c>
      <c r="Y225" s="128"/>
      <c r="Z225" s="128"/>
      <c r="AA225" s="128"/>
      <c r="AB225" s="128"/>
      <c r="AC225" s="128"/>
      <c r="AD225" s="128"/>
      <c r="AE225" s="128"/>
      <c r="AF225" s="128"/>
      <c r="AG225" s="128"/>
    </row>
    <row r="226" spans="16:33" ht="13.2">
      <c r="P226" s="46"/>
      <c r="Q226" s="46"/>
      <c r="S226" s="128"/>
      <c r="T226" s="128"/>
      <c r="V226" s="75">
        <v>0</v>
      </c>
      <c r="W226" s="75">
        <v>0</v>
      </c>
      <c r="Y226" s="128"/>
      <c r="Z226" s="128"/>
      <c r="AA226" s="128"/>
      <c r="AB226" s="128"/>
      <c r="AC226" s="128"/>
      <c r="AD226" s="128"/>
      <c r="AE226" s="128"/>
      <c r="AF226" s="128"/>
      <c r="AG226" s="128"/>
    </row>
    <row r="227" spans="16:33" ht="13.2">
      <c r="P227" s="46"/>
      <c r="Q227" s="46"/>
      <c r="S227" s="128"/>
      <c r="T227" s="128"/>
      <c r="V227" s="75">
        <v>0</v>
      </c>
      <c r="W227" s="75">
        <v>0</v>
      </c>
      <c r="Y227" s="128"/>
      <c r="Z227" s="128"/>
      <c r="AA227" s="128"/>
      <c r="AB227" s="128"/>
      <c r="AC227" s="128"/>
      <c r="AD227" s="128"/>
      <c r="AE227" s="128"/>
      <c r="AF227" s="128"/>
      <c r="AG227" s="128"/>
    </row>
    <row r="228" spans="16:33" ht="13.2">
      <c r="P228" s="46"/>
      <c r="Q228" s="46"/>
      <c r="S228" s="128"/>
      <c r="T228" s="128"/>
      <c r="V228" s="75">
        <v>0</v>
      </c>
      <c r="W228" s="75">
        <v>0</v>
      </c>
      <c r="Y228" s="128"/>
      <c r="Z228" s="128"/>
      <c r="AA228" s="128"/>
      <c r="AB228" s="128"/>
      <c r="AC228" s="128"/>
      <c r="AD228" s="128"/>
      <c r="AE228" s="128"/>
      <c r="AF228" s="128"/>
      <c r="AG228" s="128"/>
    </row>
    <row r="229" spans="16:33" ht="13.2">
      <c r="P229" s="46"/>
      <c r="Q229" s="46"/>
      <c r="S229" s="128"/>
      <c r="T229" s="128"/>
      <c r="V229" s="75">
        <v>0</v>
      </c>
      <c r="W229" s="75">
        <v>0</v>
      </c>
      <c r="Y229" s="128"/>
      <c r="Z229" s="128"/>
      <c r="AA229" s="128"/>
      <c r="AB229" s="128"/>
      <c r="AC229" s="128"/>
      <c r="AD229" s="128"/>
      <c r="AE229" s="128"/>
      <c r="AF229" s="128"/>
      <c r="AG229" s="128"/>
    </row>
    <row r="230" spans="16:33" ht="13.2">
      <c r="P230" s="46"/>
      <c r="Q230" s="46"/>
      <c r="S230" s="128"/>
      <c r="T230" s="128"/>
      <c r="V230" s="75">
        <v>0</v>
      </c>
      <c r="W230" s="75">
        <v>0</v>
      </c>
      <c r="Y230" s="128"/>
      <c r="Z230" s="128"/>
      <c r="AA230" s="128"/>
      <c r="AB230" s="128"/>
      <c r="AC230" s="128"/>
      <c r="AD230" s="128"/>
      <c r="AE230" s="128"/>
      <c r="AF230" s="128"/>
      <c r="AG230" s="128"/>
    </row>
    <row r="231" spans="16:33" ht="13.2">
      <c r="P231" s="46"/>
      <c r="Q231" s="46"/>
      <c r="S231" s="128"/>
      <c r="T231" s="128"/>
      <c r="V231" s="75">
        <v>0</v>
      </c>
      <c r="W231" s="75">
        <v>0</v>
      </c>
      <c r="Y231" s="128"/>
      <c r="Z231" s="128"/>
      <c r="AA231" s="128"/>
      <c r="AB231" s="128"/>
      <c r="AC231" s="128"/>
      <c r="AD231" s="128"/>
      <c r="AE231" s="128"/>
      <c r="AF231" s="128"/>
      <c r="AG231" s="128"/>
    </row>
    <row r="232" spans="16:33" ht="13.2">
      <c r="P232" s="46"/>
      <c r="Q232" s="46"/>
      <c r="S232" s="128"/>
      <c r="T232" s="128"/>
      <c r="V232" s="75">
        <v>0</v>
      </c>
      <c r="W232" s="75">
        <v>0</v>
      </c>
      <c r="Y232" s="128"/>
      <c r="Z232" s="128"/>
      <c r="AA232" s="128"/>
      <c r="AB232" s="128"/>
      <c r="AC232" s="128"/>
      <c r="AD232" s="128"/>
      <c r="AE232" s="128"/>
      <c r="AF232" s="128"/>
      <c r="AG232" s="128"/>
    </row>
    <row r="233" spans="16:33" ht="13.2">
      <c r="P233" s="46"/>
      <c r="Q233" s="46"/>
      <c r="S233" s="128"/>
      <c r="T233" s="128"/>
      <c r="V233" s="75">
        <v>0</v>
      </c>
      <c r="W233" s="75">
        <v>0</v>
      </c>
      <c r="Y233" s="128"/>
      <c r="Z233" s="128"/>
      <c r="AA233" s="128"/>
      <c r="AB233" s="128"/>
      <c r="AC233" s="128"/>
      <c r="AD233" s="128"/>
      <c r="AE233" s="128"/>
      <c r="AF233" s="128"/>
      <c r="AG233" s="128"/>
    </row>
    <row r="234" spans="16:33" ht="13.2">
      <c r="P234" s="46"/>
      <c r="Q234" s="46"/>
      <c r="S234" s="128"/>
      <c r="T234" s="128"/>
      <c r="V234" s="75">
        <v>0</v>
      </c>
      <c r="W234" s="75">
        <v>0</v>
      </c>
      <c r="Y234" s="128"/>
      <c r="Z234" s="128"/>
      <c r="AA234" s="128"/>
      <c r="AB234" s="128"/>
      <c r="AC234" s="128"/>
      <c r="AD234" s="128"/>
      <c r="AE234" s="128"/>
      <c r="AF234" s="128"/>
      <c r="AG234" s="128"/>
    </row>
    <row r="235" spans="16:33" ht="13.2">
      <c r="P235" s="46"/>
      <c r="Q235" s="46"/>
      <c r="S235" s="128"/>
      <c r="T235" s="128"/>
      <c r="V235" s="75">
        <v>0</v>
      </c>
      <c r="W235" s="75">
        <v>0</v>
      </c>
      <c r="Y235" s="128"/>
      <c r="Z235" s="128"/>
      <c r="AA235" s="128"/>
      <c r="AB235" s="128"/>
      <c r="AC235" s="128"/>
      <c r="AD235" s="128"/>
      <c r="AE235" s="128"/>
      <c r="AF235" s="128"/>
      <c r="AG235" s="128"/>
    </row>
  </sheetData>
  <conditionalFormatting sqref="F10:F43">
    <cfRule type="cellIs" dxfId="6" priority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16</vt:i4>
      </vt:variant>
    </vt:vector>
  </HeadingPairs>
  <TitlesOfParts>
    <vt:vector size="48" baseType="lpstr">
      <vt:lpstr>Index</vt:lpstr>
      <vt:lpstr>Project Reductions Summary</vt:lpstr>
      <vt:lpstr>Project Reductions Details</vt:lpstr>
      <vt:lpstr>Project #1 - Clean Fleets</vt:lpstr>
      <vt:lpstr>Project #2 - Virtual Power Plan</vt:lpstr>
      <vt:lpstr>Project #3 - Res Building Retro</vt:lpstr>
      <vt:lpstr>Project #3 - Com Building Retro</vt:lpstr>
      <vt:lpstr>Project #3 - VPP+ Costs</vt:lpstr>
      <vt:lpstr>Project #4 - Res Building New B</vt:lpstr>
      <vt:lpstr>Project #4 - Res Building Retro</vt:lpstr>
      <vt:lpstr>Project #4 - Deep Nbhd Retrofit</vt:lpstr>
      <vt:lpstr>Project #5 - Transit Transforma</vt:lpstr>
      <vt:lpstr>Project #6 - Carbon Sequestrati</vt:lpstr>
      <vt:lpstr>Project #7 - Clean Cars</vt:lpstr>
      <vt:lpstr>Project #8 - Active Transportat</vt:lpstr>
      <vt:lpstr>Project #9 - Organics Diversion</vt:lpstr>
      <vt:lpstr>Dayton Kettering MSA Summary</vt:lpstr>
      <vt:lpstr>Dayton Kettering MSA Pop</vt:lpstr>
      <vt:lpstr>Projections raw data</vt:lpstr>
      <vt:lpstr>Projections by County</vt:lpstr>
      <vt:lpstr>Emissions Factors</vt:lpstr>
      <vt:lpstr>CAP Emissions Factors</vt:lpstr>
      <vt:lpstr>Clean Fleet Calcs</vt:lpstr>
      <vt:lpstr>Rooftop Solar</vt:lpstr>
      <vt:lpstr>Census_data</vt:lpstr>
      <vt:lpstr>replica trips</vt:lpstr>
      <vt:lpstr>Replica Building Area</vt:lpstr>
      <vt:lpstr>new res bld calcs</vt:lpstr>
      <vt:lpstr>res bld data</vt:lpstr>
      <vt:lpstr>res bld calcs</vt:lpstr>
      <vt:lpstr>nres bld data</vt:lpstr>
      <vt:lpstr>nres bld calcs</vt:lpstr>
      <vt:lpstr>avg_trip_length</vt:lpstr>
      <vt:lpstr>bike_elasticity</vt:lpstr>
      <vt:lpstr>BTU_per_kWh</vt:lpstr>
      <vt:lpstr>emission_factors</vt:lpstr>
      <vt:lpstr>hdv_diesel_cap_ef</vt:lpstr>
      <vt:lpstr>hdv_gas_cap_ef</vt:lpstr>
      <vt:lpstr>ldv_diesel_car_cap_ef</vt:lpstr>
      <vt:lpstr>ldv_diesel_lt_cap_ef</vt:lpstr>
      <vt:lpstr>ldv_gas_car_cap_ef</vt:lpstr>
      <vt:lpstr>ldv_gas_lt_cap_ef</vt:lpstr>
      <vt:lpstr>ldv_gas_moto_cap_ef</vt:lpstr>
      <vt:lpstr>MMBTU_per_scf</vt:lpstr>
      <vt:lpstr>person_miles_by_dist</vt:lpstr>
      <vt:lpstr>person_miles_mode_share</vt:lpstr>
      <vt:lpstr>person_trips_by_dist</vt:lpstr>
      <vt:lpstr>tonne_per_lb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Deryn</dc:creator>
  <cp:lastModifiedBy>Davis, Chanda</cp:lastModifiedBy>
  <dcterms:created xsi:type="dcterms:W3CDTF">2024-02-21T05:30:39Z</dcterms:created>
  <dcterms:modified xsi:type="dcterms:W3CDTF">2024-02-23T15:45:15Z</dcterms:modified>
</cp:coreProperties>
</file>